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Documentos\PREF-2023\Licitação\Tomada de Preço\TP 004-2023\"/>
    </mc:Choice>
  </mc:AlternateContent>
  <xr:revisionPtr revIDLastSave="0" documentId="8_{7EF95B75-46D5-4790-8E3C-CB6395E30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O ORÇ." sheetId="32" r:id="rId1"/>
    <sheet name="PLANILHA ORÇAMENTÁRIA" sheetId="29" r:id="rId2"/>
    <sheet name="CRONOGRAMA " sheetId="31" r:id="rId3"/>
    <sheet name="COMPOSIÇÃO I " sheetId="28" r:id="rId4"/>
    <sheet name="COMPOSIÇÃO II" sheetId="38" r:id="rId5"/>
    <sheet name="COMPOSIÇÃO III " sheetId="57" r:id="rId6"/>
    <sheet name="COMPOSIÇÃO IV" sheetId="39" r:id="rId7"/>
    <sheet name="COMPOSIÇÃO V" sheetId="41" r:id="rId8"/>
    <sheet name="BDI" sheetId="20" r:id="rId9"/>
    <sheet name="Mat. Parque de Exposições " sheetId="47" r:id="rId10"/>
  </sheets>
  <externalReferences>
    <externalReference r:id="rId11"/>
  </externalReferences>
  <calcPr calcId="181029"/>
</workbook>
</file>

<file path=xl/calcChain.xml><?xml version="1.0" encoding="utf-8"?>
<calcChain xmlns="http://schemas.openxmlformats.org/spreadsheetml/2006/main">
  <c r="H16" i="31" l="1"/>
  <c r="B13" i="32"/>
  <c r="B14" i="31" s="1"/>
  <c r="B12" i="32"/>
  <c r="B11" i="32"/>
  <c r="G13" i="32"/>
  <c r="G12" i="32"/>
  <c r="G11" i="32"/>
  <c r="H10" i="29"/>
  <c r="G34" i="29" s="1"/>
  <c r="H29" i="29"/>
  <c r="H26" i="29"/>
  <c r="G14" i="29"/>
  <c r="H14" i="29" s="1"/>
  <c r="H12" i="29" s="1"/>
  <c r="H15" i="29"/>
  <c r="F14" i="29"/>
  <c r="G11" i="29"/>
  <c r="H11" i="29" s="1"/>
  <c r="F11" i="29"/>
  <c r="A13" i="31"/>
  <c r="A12" i="31"/>
  <c r="A11" i="31"/>
  <c r="A10" i="31"/>
  <c r="A14" i="31"/>
  <c r="E14" i="31" l="1"/>
  <c r="B13" i="31"/>
  <c r="H14" i="31" l="1"/>
  <c r="E14" i="29" l="1"/>
  <c r="E22" i="29"/>
  <c r="E21" i="29"/>
  <c r="F6" i="57"/>
  <c r="F18" i="57"/>
  <c r="F17" i="57"/>
  <c r="F15" i="57"/>
  <c r="F14" i="57"/>
  <c r="F12" i="57"/>
  <c r="F11" i="57"/>
  <c r="D3" i="57"/>
  <c r="F19" i="57" l="1"/>
  <c r="F31" i="29" s="1"/>
  <c r="E20" i="29" l="1"/>
  <c r="E24" i="29" l="1"/>
  <c r="E25" i="29" s="1"/>
  <c r="E30" i="29"/>
  <c r="E23" i="29"/>
  <c r="E18" i="29"/>
  <c r="E19" i="29" s="1"/>
  <c r="E17" i="29"/>
  <c r="E27" i="29"/>
  <c r="E28" i="29" s="1"/>
  <c r="D30" i="47"/>
  <c r="D29" i="47"/>
  <c r="C29" i="47"/>
  <c r="B28" i="47"/>
  <c r="D28" i="47" s="1"/>
  <c r="C27" i="47"/>
  <c r="D27" i="47" s="1"/>
  <c r="C28" i="47"/>
  <c r="G12" i="47"/>
  <c r="G13" i="47"/>
  <c r="E12" i="47"/>
  <c r="E13" i="47"/>
  <c r="G11" i="47"/>
  <c r="E11" i="47"/>
  <c r="I7" i="47"/>
  <c r="H7" i="47"/>
  <c r="G7" i="47"/>
  <c r="F7" i="47"/>
  <c r="E7" i="47"/>
  <c r="F6" i="41" l="1"/>
  <c r="F6" i="39"/>
  <c r="F6" i="38"/>
  <c r="F6" i="28"/>
  <c r="H7" i="32"/>
  <c r="H7" i="29"/>
  <c r="H7" i="20"/>
  <c r="H7" i="31"/>
  <c r="D11" i="28"/>
  <c r="D12" i="28"/>
  <c r="F14" i="41" l="1"/>
  <c r="F13" i="41"/>
  <c r="F11" i="41"/>
  <c r="D3" i="41"/>
  <c r="F15" i="39"/>
  <c r="F16" i="39"/>
  <c r="F14" i="39"/>
  <c r="F13" i="39"/>
  <c r="F12" i="39"/>
  <c r="F11" i="39"/>
  <c r="F23" i="39"/>
  <c r="F22" i="39"/>
  <c r="F21" i="39"/>
  <c r="F20" i="39"/>
  <c r="F19" i="39"/>
  <c r="F18" i="39"/>
  <c r="D3" i="39"/>
  <c r="F17" i="38"/>
  <c r="F16" i="38"/>
  <c r="F15" i="38"/>
  <c r="F14" i="38"/>
  <c r="F13" i="38"/>
  <c r="F12" i="38"/>
  <c r="F11" i="38"/>
  <c r="D3" i="38"/>
  <c r="F24" i="39" l="1"/>
  <c r="F27" i="29" s="1"/>
  <c r="F15" i="41"/>
  <c r="F28" i="29" s="1"/>
  <c r="F18" i="38"/>
  <c r="F21" i="20" l="1"/>
  <c r="F20" i="20" s="1"/>
  <c r="I14" i="20" s="1"/>
  <c r="F17" i="20"/>
  <c r="I13" i="20"/>
  <c r="I12" i="20"/>
  <c r="I11" i="20"/>
  <c r="F11" i="20"/>
  <c r="I15" i="20" l="1"/>
  <c r="I16" i="20" s="1"/>
  <c r="F27" i="20" s="1"/>
  <c r="E4" i="20" s="1"/>
  <c r="H4" i="31" l="1"/>
  <c r="D3" i="28"/>
  <c r="E4" i="29"/>
  <c r="E4" i="32"/>
  <c r="B12" i="31"/>
  <c r="B10" i="32"/>
  <c r="B11" i="31" s="1"/>
  <c r="G31" i="29" l="1"/>
  <c r="H31" i="29" s="1"/>
  <c r="G23" i="29"/>
  <c r="G24" i="29"/>
  <c r="G25" i="29"/>
  <c r="G18" i="29"/>
  <c r="G22" i="29"/>
  <c r="G21" i="29"/>
  <c r="G19" i="29"/>
  <c r="G20" i="29"/>
  <c r="G30" i="29"/>
  <c r="G28" i="29"/>
  <c r="G27" i="29"/>
  <c r="G17" i="29"/>
  <c r="E13" i="31" l="1"/>
  <c r="H30" i="29"/>
  <c r="H22" i="29"/>
  <c r="H21" i="29"/>
  <c r="H23" i="29"/>
  <c r="H20" i="29"/>
  <c r="H18" i="29"/>
  <c r="H25" i="29"/>
  <c r="H24" i="29"/>
  <c r="H17" i="29"/>
  <c r="H19" i="29"/>
  <c r="B9" i="32"/>
  <c r="B10" i="31" s="1"/>
  <c r="F12" i="28"/>
  <c r="F11" i="28"/>
  <c r="H13" i="31" l="1"/>
  <c r="F13" i="28"/>
  <c r="G9" i="32" l="1"/>
  <c r="E10" i="31" s="1"/>
  <c r="H10" i="31" l="1"/>
  <c r="E12" i="31" l="1"/>
  <c r="H12" i="31" l="1"/>
  <c r="H28" i="29" l="1"/>
  <c r="H27" i="29" l="1"/>
  <c r="G10" i="32" l="1"/>
  <c r="G14" i="32" l="1"/>
  <c r="F13" i="32" s="1"/>
  <c r="E11" i="31"/>
  <c r="E15" i="31" l="1"/>
  <c r="D11" i="31" s="1"/>
  <c r="H11" i="31"/>
  <c r="H15" i="31" s="1"/>
  <c r="F12" i="32"/>
  <c r="F9" i="32"/>
  <c r="F11" i="32"/>
  <c r="F10" i="32"/>
  <c r="F14" i="32" l="1"/>
  <c r="G16" i="31"/>
  <c r="D14" i="31"/>
  <c r="D13" i="31"/>
  <c r="D12" i="31"/>
  <c r="G15" i="31"/>
  <c r="D10" i="31"/>
  <c r="D15" i="31" l="1"/>
</calcChain>
</file>

<file path=xl/sharedStrings.xml><?xml version="1.0" encoding="utf-8"?>
<sst xmlns="http://schemas.openxmlformats.org/spreadsheetml/2006/main" count="422" uniqueCount="242">
  <si>
    <r>
      <rPr>
        <b/>
        <sz val="10"/>
        <rFont val="Arial"/>
        <family val="2"/>
      </rPr>
      <t>T O T A L   G E R A L</t>
    </r>
  </si>
  <si>
    <r>
      <rPr>
        <b/>
        <sz val="6"/>
        <rFont val="Arial"/>
        <family val="2"/>
      </rPr>
      <t>NÃO DESONERADO</t>
    </r>
  </si>
  <si>
    <r>
      <rPr>
        <b/>
        <sz val="9"/>
        <rFont val="Arial"/>
        <family val="2"/>
      </rPr>
      <t>BDI</t>
    </r>
  </si>
  <si>
    <r>
      <rPr>
        <b/>
        <sz val="5.5"/>
        <rFont val="Arial"/>
        <family val="2"/>
      </rPr>
      <t>OBRA:</t>
    </r>
  </si>
  <si>
    <r>
      <rPr>
        <b/>
        <sz val="6"/>
        <rFont val="Arial"/>
        <family val="2"/>
      </rPr>
      <t>ADMINISTRAÇÃO LOCAL</t>
    </r>
  </si>
  <si>
    <r>
      <rPr>
        <b/>
        <sz val="6"/>
        <rFont val="Arial"/>
        <family val="2"/>
      </rPr>
      <t>UN</t>
    </r>
  </si>
  <si>
    <r>
      <rPr>
        <b/>
        <sz val="6"/>
        <rFont val="Arial"/>
        <family val="2"/>
      </rPr>
      <t>SINAPI ou Cot. De Mercado</t>
    </r>
  </si>
  <si>
    <r>
      <rPr>
        <b/>
        <sz val="6"/>
        <rFont val="Arial"/>
        <family val="2"/>
      </rPr>
      <t>COMPONENTES</t>
    </r>
  </si>
  <si>
    <r>
      <rPr>
        <b/>
        <sz val="6"/>
        <rFont val="Arial"/>
        <family val="2"/>
      </rPr>
      <t>Quantidade</t>
    </r>
  </si>
  <si>
    <r>
      <rPr>
        <b/>
        <sz val="6"/>
        <rFont val="Arial"/>
        <family val="2"/>
      </rPr>
      <t>Custos Unit. (R$)</t>
    </r>
  </si>
  <si>
    <r>
      <rPr>
        <b/>
        <sz val="6"/>
        <rFont val="Arial"/>
        <family val="2"/>
      </rPr>
      <t>Custos Total (R$)</t>
    </r>
  </si>
  <si>
    <r>
      <rPr>
        <b/>
        <sz val="6"/>
        <rFont val="Arial"/>
        <family val="2"/>
      </rPr>
      <t>MÃO DE OBRA</t>
    </r>
  </si>
  <si>
    <r>
      <rPr>
        <sz val="6"/>
        <rFont val="Arial"/>
        <family val="2"/>
      </rPr>
      <t>MESTRE DE OBRAS COM ENCARGOS COMPLEMENTARES</t>
    </r>
  </si>
  <si>
    <r>
      <rPr>
        <sz val="6"/>
        <rFont val="Arial"/>
        <family val="2"/>
      </rPr>
      <t>H</t>
    </r>
  </si>
  <si>
    <r>
      <rPr>
        <sz val="6"/>
        <rFont val="Arial"/>
        <family val="2"/>
      </rPr>
      <t>ENGENHEIRO CIVIL DE OBRA JUNIOR COM ENCARGOS COMPLEMENTARES</t>
    </r>
  </si>
  <si>
    <r>
      <rPr>
        <b/>
        <sz val="6"/>
        <rFont val="Arial"/>
        <family val="2"/>
      </rPr>
      <t>Total</t>
    </r>
  </si>
  <si>
    <r>
      <rPr>
        <b/>
        <sz val="6"/>
        <rFont val="Arial"/>
        <family val="2"/>
      </rPr>
      <t>MEMÓRIA DE CÁLCULO - ADMINISTRAÇÃO LOCAL</t>
    </r>
  </si>
  <si>
    <r>
      <rPr>
        <b/>
        <sz val="6"/>
        <rFont val="Arial"/>
        <family val="2"/>
      </rPr>
      <t>CÁLCULO</t>
    </r>
  </si>
  <si>
    <r>
      <rPr>
        <b/>
        <sz val="6"/>
        <rFont val="Arial"/>
        <family val="2"/>
      </rPr>
      <t>M A T E R I A L</t>
    </r>
  </si>
  <si>
    <r>
      <rPr>
        <b/>
        <sz val="9.5"/>
        <rFont val="Arial"/>
        <family val="2"/>
      </rPr>
      <t>BDI</t>
    </r>
  </si>
  <si>
    <r>
      <rPr>
        <b/>
        <sz val="6"/>
        <rFont val="Arial"/>
        <family val="2"/>
      </rPr>
      <t>ITEM</t>
    </r>
  </si>
  <si>
    <r>
      <rPr>
        <b/>
        <sz val="6"/>
        <rFont val="Arial"/>
        <family val="2"/>
      </rPr>
      <t>DISCRIMINAÇÃO</t>
    </r>
  </si>
  <si>
    <r>
      <rPr>
        <b/>
        <sz val="6"/>
        <rFont val="Arial"/>
        <family val="2"/>
      </rPr>
      <t>PERCENTUAL</t>
    </r>
  </si>
  <si>
    <r>
      <rPr>
        <b/>
        <sz val="6"/>
        <rFont val="Arial"/>
        <family val="2"/>
      </rPr>
      <t>( % )</t>
    </r>
  </si>
  <si>
    <r>
      <rPr>
        <b/>
        <sz val="6"/>
        <rFont val="Arial"/>
        <family val="2"/>
      </rPr>
      <t>ADMINISTRAÇÃO DA OBRA</t>
    </r>
  </si>
  <si>
    <r>
      <rPr>
        <sz val="6"/>
        <rFont val="Arial"/>
        <family val="2"/>
      </rPr>
      <t>1.1</t>
    </r>
  </si>
  <si>
    <r>
      <rPr>
        <b/>
        <sz val="6"/>
        <rFont val="Arial"/>
        <family val="2"/>
      </rPr>
      <t xml:space="preserve">AC - </t>
    </r>
    <r>
      <rPr>
        <sz val="6"/>
        <rFont val="Arial"/>
        <family val="2"/>
      </rPr>
      <t>Administração Central</t>
    </r>
  </si>
  <si>
    <r>
      <rPr>
        <sz val="6"/>
        <rFont val="Arial"/>
        <family val="2"/>
      </rPr>
      <t>1.2</t>
    </r>
  </si>
  <si>
    <r>
      <rPr>
        <b/>
        <sz val="6"/>
        <rFont val="Arial"/>
        <family val="2"/>
      </rPr>
      <t xml:space="preserve">SG - </t>
    </r>
    <r>
      <rPr>
        <sz val="6"/>
        <rFont val="Arial"/>
        <family val="2"/>
      </rPr>
      <t>Seguro e Garantia</t>
    </r>
  </si>
  <si>
    <r>
      <rPr>
        <sz val="6"/>
        <rFont val="Arial"/>
        <family val="2"/>
      </rPr>
      <t>1.3</t>
    </r>
  </si>
  <si>
    <r>
      <rPr>
        <b/>
        <sz val="6"/>
        <rFont val="Arial"/>
        <family val="2"/>
      </rPr>
      <t xml:space="preserve">C - </t>
    </r>
    <r>
      <rPr>
        <sz val="6"/>
        <rFont val="Arial"/>
        <family val="2"/>
      </rPr>
      <t>Riscos</t>
    </r>
  </si>
  <si>
    <r>
      <rPr>
        <sz val="6"/>
        <rFont val="Arial"/>
        <family val="2"/>
      </rPr>
      <t>1.4</t>
    </r>
  </si>
  <si>
    <r>
      <rPr>
        <b/>
        <sz val="6"/>
        <rFont val="Arial"/>
        <family val="2"/>
      </rPr>
      <t xml:space="preserve">DF - </t>
    </r>
    <r>
      <rPr>
        <sz val="6"/>
        <rFont val="Arial"/>
        <family val="2"/>
      </rPr>
      <t>Custos Financeiras</t>
    </r>
  </si>
  <si>
    <r>
      <rPr>
        <b/>
        <sz val="6"/>
        <rFont val="Arial"/>
        <family val="2"/>
      </rPr>
      <t>2.0</t>
    </r>
  </si>
  <si>
    <r>
      <rPr>
        <b/>
        <sz val="6"/>
        <rFont val="Arial"/>
        <family val="2"/>
      </rPr>
      <t>LUCRO</t>
    </r>
  </si>
  <si>
    <r>
      <rPr>
        <sz val="6"/>
        <rFont val="Arial"/>
        <family val="2"/>
      </rPr>
      <t>2.1</t>
    </r>
  </si>
  <si>
    <r>
      <rPr>
        <b/>
        <sz val="6"/>
        <rFont val="Arial"/>
        <family val="2"/>
      </rPr>
      <t xml:space="preserve">L - </t>
    </r>
    <r>
      <rPr>
        <sz val="6"/>
        <rFont val="Arial"/>
        <family val="2"/>
      </rPr>
      <t>Lucro Operacional</t>
    </r>
  </si>
  <si>
    <r>
      <rPr>
        <b/>
        <sz val="6"/>
        <rFont val="Arial"/>
        <family val="2"/>
      </rPr>
      <t>3.0</t>
    </r>
  </si>
  <si>
    <r>
      <rPr>
        <b/>
        <sz val="6"/>
        <rFont val="Arial"/>
        <family val="2"/>
      </rPr>
      <t>TRIBUTOS</t>
    </r>
  </si>
  <si>
    <r>
      <rPr>
        <sz val="6"/>
        <rFont val="Arial"/>
        <family val="2"/>
      </rPr>
      <t>3.1</t>
    </r>
  </si>
  <si>
    <r>
      <rPr>
        <sz val="6"/>
        <rFont val="Arial"/>
        <family val="2"/>
      </rPr>
      <t>**ISS</t>
    </r>
  </si>
  <si>
    <r>
      <rPr>
        <sz val="6"/>
        <rFont val="Arial"/>
        <family val="2"/>
      </rPr>
      <t>3.2</t>
    </r>
  </si>
  <si>
    <r>
      <rPr>
        <sz val="6"/>
        <rFont val="Arial"/>
        <family val="2"/>
      </rPr>
      <t>Cofins</t>
    </r>
  </si>
  <si>
    <r>
      <rPr>
        <sz val="6"/>
        <rFont val="Arial"/>
        <family val="2"/>
      </rPr>
      <t>3.3</t>
    </r>
  </si>
  <si>
    <r>
      <rPr>
        <sz val="6"/>
        <rFont val="Arial"/>
        <family val="2"/>
      </rPr>
      <t>Pis</t>
    </r>
  </si>
  <si>
    <r>
      <rPr>
        <sz val="6"/>
        <rFont val="Arial"/>
        <family val="2"/>
      </rPr>
      <t>3.4</t>
    </r>
  </si>
  <si>
    <r>
      <rPr>
        <sz val="6"/>
        <rFont val="Arial"/>
        <family val="2"/>
      </rPr>
      <t>Contribuição Previdenciária - Lei nº 12.546/13</t>
    </r>
  </si>
  <si>
    <r>
      <rPr>
        <sz val="6"/>
        <rFont val="Arial"/>
        <family val="2"/>
      </rPr>
      <t>Segundo o que determina a lei nº 8.666/93, admite-se fixar o percentual de BDI, dede que seguindo as técnicas da Engenharia e Custos.</t>
    </r>
  </si>
  <si>
    <r>
      <rPr>
        <b/>
        <sz val="6"/>
        <rFont val="Arial"/>
        <family val="2"/>
      </rPr>
      <t>Não incidem IRPJ e CSLL na composição de Tributos.</t>
    </r>
  </si>
  <si>
    <r>
      <rPr>
        <b/>
        <sz val="6"/>
        <rFont val="Calibri"/>
        <family val="2"/>
      </rPr>
      <t>CÁLCULO DO BDI</t>
    </r>
  </si>
  <si>
    <t>COMPOSIÇÃO</t>
  </si>
  <si>
    <t>Und.</t>
  </si>
  <si>
    <t>m²</t>
  </si>
  <si>
    <t>m</t>
  </si>
  <si>
    <t>2.0</t>
  </si>
  <si>
    <t>3.0</t>
  </si>
  <si>
    <t>OBRA:</t>
  </si>
  <si>
    <t>LOCAL:</t>
  </si>
  <si>
    <t>1.0</t>
  </si>
  <si>
    <t>ADMINISTRAÇÃO LOCAL</t>
  </si>
  <si>
    <t>%</t>
  </si>
  <si>
    <t xml:space="preserve">SETOR DE ENGENHARIA </t>
  </si>
  <si>
    <t>TOTAL ACUMULADO</t>
  </si>
  <si>
    <t>TOTAL GERAL</t>
  </si>
  <si>
    <t>ORÇAMENTO</t>
  </si>
  <si>
    <t xml:space="preserve">PLANILHA ORÇAMENTÁRIA </t>
  </si>
  <si>
    <t xml:space="preserve">PREFEITURA  DE NOVA SANTA HELENA-MT </t>
  </si>
  <si>
    <t>DATA</t>
  </si>
  <si>
    <t>RESUMO ORÇAMENTÁRIO</t>
  </si>
  <si>
    <t>CRONOGRAMA FÍSICO-FINANCEIRO</t>
  </si>
  <si>
    <t>BDI</t>
  </si>
  <si>
    <t>TAXA DE BDI A SER APLICADA SOBRE O CUSTO DIRETO</t>
  </si>
  <si>
    <t>kg</t>
  </si>
  <si>
    <t>COMPOSIÇÃO II</t>
  </si>
  <si>
    <t>Custos Total S/ BDI (R$)</t>
  </si>
  <si>
    <t>H</t>
  </si>
  <si>
    <t>SERVENTE COM ENCARGOS COMPLEMENTARES</t>
  </si>
  <si>
    <t>Indicação: C - Composição;  I - Insumo.</t>
  </si>
  <si>
    <t xml:space="preserve">FONTE </t>
  </si>
  <si>
    <t>COMPOSIÇÃO I</t>
  </si>
  <si>
    <t>COMPOSIÇÃO III</t>
  </si>
  <si>
    <t>FORNECIMENTO DE ESTRUTURA METÁLICA COM UTILIZAÇÃO DE PERFIS EM AÇO ASTM A36</t>
  </si>
  <si>
    <t>MONTAGEM DE ESTRUTURA METÁLICA</t>
  </si>
  <si>
    <t>EQUIPAMENTO</t>
  </si>
  <si>
    <t>m³</t>
  </si>
  <si>
    <t>Vol. Reaterro</t>
  </si>
  <si>
    <t>CONSTRUÇÃO E REFORMA DE EDIFÍCIOS</t>
  </si>
  <si>
    <t>BDI SACID</t>
  </si>
  <si>
    <t>1º Quartil</t>
  </si>
  <si>
    <t>Médio</t>
  </si>
  <si>
    <t>3º Quartil</t>
  </si>
  <si>
    <t>COM DESONERAÇÃO</t>
  </si>
  <si>
    <t>SEM DESONERAÇÃO</t>
  </si>
  <si>
    <t>* PARA ISS 5,00 % E % 40 M.O</t>
  </si>
  <si>
    <t>* ALTERAR SOMENTE ISS DO MUN.</t>
  </si>
  <si>
    <t>BDI MINIMO</t>
  </si>
  <si>
    <t>**ISS - Do  município pelo Código Tributário Municipal - Lei Nº 569/2013</t>
  </si>
  <si>
    <t xml:space="preserve">BDI = </t>
  </si>
  <si>
    <t>( 1 + AC + S + R + G ) ( 1 + DF ) ( 1 + L )</t>
  </si>
  <si>
    <t>(1-I)</t>
  </si>
  <si>
    <t>**ISS -  Imposto Sobre Serviços</t>
  </si>
  <si>
    <t>ISS - Do município</t>
  </si>
  <si>
    <t>% SOBRE MÃO DE OBRA</t>
  </si>
  <si>
    <t>COMPOSIÇÃO IV</t>
  </si>
  <si>
    <t>COMPOSIÇÃO V</t>
  </si>
  <si>
    <t xml:space="preserve">PLACA DE OBRA EM CHAPA DE ACO GALVANIZADO </t>
  </si>
  <si>
    <t>SARRAFO DE MADEIRA NAO APARELHADA *2,5 X 7* CM, MACARANDUBA, ANGELIM OU EQUIVALENTE DA REGIAO</t>
  </si>
  <si>
    <t>M</t>
  </si>
  <si>
    <t>1,0000000</t>
  </si>
  <si>
    <t>PONTALETE DE MADEIRA NAO APARELHADA *7,5 X 7,5* CM (3 X 3 ") PINUS, MISTA OU EQUIVALENTE DA REGIAO</t>
  </si>
  <si>
    <t>4,0000000</t>
  </si>
  <si>
    <t>PLACA DE OBRA (PARA CONSTRUCAO CIVIL) EM CHAPA GALVANIZADA *N. 22*, ADESIVADA, DE *2,0 X 1,125* M</t>
  </si>
  <si>
    <t>M2</t>
  </si>
  <si>
    <t>PREGO DE ACO POLIDO COM CABECA 18 X 30 (2 3/4 X 10)</t>
  </si>
  <si>
    <t>KG</t>
  </si>
  <si>
    <t>0,1100000</t>
  </si>
  <si>
    <t>CARPINTEIRO DE FORMAS COM ENCARGOS COMPLEMENTARES</t>
  </si>
  <si>
    <t>2,0000000</t>
  </si>
  <si>
    <t>CONCRETO MAGRO PARA LASTRO, TRAÇO 1:4,5:4,5 (CIMENTO/ AREIA MÉDIA/ BRITA 1)  - PREPARO MECÂNICO COM BETONEIRA 400 L. AF_07/2016</t>
  </si>
  <si>
    <t>M3</t>
  </si>
  <si>
    <t>0,0100000</t>
  </si>
  <si>
    <t>Código 73900/5 - Catálogo de Composições Análiticas - SINAPI/MT/Janeiro-2020</t>
  </si>
  <si>
    <t xml:space="preserve">MATERIAIS </t>
  </si>
  <si>
    <t>PERFIL UDC ("U" DOBRADO DE CHAPA) SIMPLES DE ACO LAMINADO, GALVANIZADO, ASTM A36, 127 X 50 MM, E= 3 MM</t>
  </si>
  <si>
    <t>BARRA DE FERRO CHATA, RETANGULAR (QUALQUER BITOLA)</t>
  </si>
  <si>
    <t>**COMPOSIÇÃO BASEADA NA TABELA SIURB - SP - CÓDIGO 15505, COMPOSIÇÃO ANALÍTICA</t>
  </si>
  <si>
    <t>FUNDO ANTICORROSIVO PARA METAIS FERROSOS (ZARCAO)</t>
  </si>
  <si>
    <t>ELETRODO REVESTIDO AWS - E7018, DIAMETRO IGUAL A 4,00 MM</t>
  </si>
  <si>
    <t>DILUENTE AGUARRAS</t>
  </si>
  <si>
    <t>APARELHO PARA CORTE E SOLDA OXI-ACETILENO SOBRE RODAS, INCLUSIVE CILINDROS E MAÇARICOS - CHP DIURNO. AF_12/2015</t>
  </si>
  <si>
    <t>L</t>
  </si>
  <si>
    <t>CHP</t>
  </si>
  <si>
    <t>SERRALHEIRO COM ENCARGOS COMPLEMENTARES</t>
  </si>
  <si>
    <t>AUXILIAR DE SERRALHEIRO COM ENCARGOS COMPLEMENTARES</t>
  </si>
  <si>
    <t>PINTOR COM ENCARGOS COMPLEMENTARES</t>
  </si>
  <si>
    <t>AJUDANTE DE PINTOR COM ENCARGOS COMPLEMENTARES</t>
  </si>
  <si>
    <t>AJUDANTE DE ESTRUTURA METÁLICA COM ENCARGOS COMPLEMENTARES</t>
  </si>
  <si>
    <t>SOLDADOR COM ENCARGOS COMPLEMENTARES</t>
  </si>
  <si>
    <t>GUINDASTE HIDRÁULICO AUTOPROPELIDO, COM LANÇA TELESCÓPICA 28,80 M, CAPACIDADE MÁXIMA 30 T, POTÊNCIA 97 KW, TRAÇÃO 4 X 4 - CHP DIURNO. AF_11/2014</t>
  </si>
  <si>
    <t>MONTADOR DE ESTRUTURA METÁLICA COM ENCARGOS COMPLEMENTARES</t>
  </si>
  <si>
    <t>COTAÇÃO</t>
  </si>
  <si>
    <t>PILARES</t>
  </si>
  <si>
    <t>Comp.</t>
  </si>
  <si>
    <t>Kg</t>
  </si>
  <si>
    <t>Atualizado Valores em 14/02</t>
  </si>
  <si>
    <t>NÃO DESONERADO</t>
  </si>
  <si>
    <t>ITEM</t>
  </si>
  <si>
    <t>CÓDIGO</t>
  </si>
  <si>
    <t>DESCRIÇÃO DO SERVIÇO</t>
  </si>
  <si>
    <t>UN.</t>
  </si>
  <si>
    <t>QUANT.</t>
  </si>
  <si>
    <t>PREÇO UNIT. (R$)</t>
  </si>
  <si>
    <t>PREÇO BDI. (R$)</t>
  </si>
  <si>
    <t>PREÇO FINAL (R$)</t>
  </si>
  <si>
    <t>1.1</t>
  </si>
  <si>
    <t>Pilares</t>
  </si>
  <si>
    <t xml:space="preserve">Vol. Concreto </t>
  </si>
  <si>
    <t>Nº Barras</t>
  </si>
  <si>
    <t xml:space="preserve">Peso Específico Perfil Ue 100x40x15 E=2,65 = 23,70kg/6m </t>
  </si>
  <si>
    <t>Fonte: Acerlor Mittal</t>
  </si>
  <si>
    <t>Peso Específico Perfil Ue 70x40x15 E=2,25 = 17,70kg/6m  = 2,95kg/m</t>
  </si>
  <si>
    <t>ESCAVAÇÃO MANUAL PARA BLOCO DE COROAMENTO OU SAPATA (SEM ESCAVAÇÃO PARA COLOCAÇÃO DE FÔRMAS).</t>
  </si>
  <si>
    <t>CONCRETO FCK = 25MPA, TRAÇO 1:2,3:2,7 (EM MASSA SECA DE CIMENTO/ AREIA MÉDIA/ BRITA 1) - PREPARO MECÂNICO COM BETONEIRA 400 L.</t>
  </si>
  <si>
    <t xml:space="preserve">LANÇAMENTO COM USO DE BALDES, ADENSAMENTO E ACABAMENTO DE CONCRETO EM ESTRUTURAS. </t>
  </si>
  <si>
    <t xml:space="preserve">ARMAÇÃO DE PILAR OU VIGA DE ESTRUTURA CONVENCIONAL DE CONCRETO ARMADO UTILIZANDO AÇO CA-50 DE 10,0 MM - MONTAGEM. </t>
  </si>
  <si>
    <t xml:space="preserve">ARMAÇÃO DE PILAR OU VIGA DE ESTRUTURA CONVENCIONAL DE CONCRETO ARMADO  UTILIZANDO AÇO CA-60 DE 5,0 MM - MONTAGEM. </t>
  </si>
  <si>
    <t>LANÇAMENTO COM USO DE BALDES, ADENSAMENTO E ACABAMENTO DE CONCRETO EM ESTRUTURAS.</t>
  </si>
  <si>
    <t xml:space="preserve">CONCRETO FCK = 30MPA, TRAÇO 1:2,1:2,5 (EM MASSA SECA DE CIMENTO/ AREIAMÉDIA/ BRITA 1) - PREPARO MECÂNICO COM BETONEIRA 400 L. </t>
  </si>
  <si>
    <t>TOTAL:</t>
  </si>
  <si>
    <t>TELHAMENTO COM TELHA DE AÇO/ALUMÍNIO E = 0,5 MM, COM ATÉ 2 ÁGUAS, INCLUSO IÇAMENTO.</t>
  </si>
  <si>
    <t>3HR*4DIAS*4SEMANAS*1MESES</t>
  </si>
  <si>
    <t>3HR*2DIAS*4SEMANAS*1MESES</t>
  </si>
  <si>
    <r>
      <rPr>
        <sz val="10"/>
        <color rgb="FF00B050"/>
        <rFont val="Times New Roman"/>
        <family val="1"/>
      </rPr>
      <t>OK</t>
    </r>
    <r>
      <rPr>
        <sz val="10"/>
        <color rgb="FF000000"/>
        <rFont val="Times New Roman"/>
        <family val="1"/>
      </rPr>
      <t xml:space="preserve"> </t>
    </r>
  </si>
  <si>
    <t xml:space="preserve">MEMORIAL DE CÁCULO </t>
  </si>
  <si>
    <t>nº Pilares</t>
  </si>
  <si>
    <t>X</t>
  </si>
  <si>
    <t>Y</t>
  </si>
  <si>
    <t>Z</t>
  </si>
  <si>
    <t xml:space="preserve">Area de Formas Und. </t>
  </si>
  <si>
    <t xml:space="preserve">Vol. Escavação </t>
  </si>
  <si>
    <t xml:space="preserve">Vol. Concreto Fundações </t>
  </si>
  <si>
    <t>Armadura</t>
  </si>
  <si>
    <t>Ferro 5,0mm</t>
  </si>
  <si>
    <t>Ferro 10,0mm</t>
  </si>
  <si>
    <t>Ferro 6,0mm</t>
  </si>
  <si>
    <t xml:space="preserve">Comp. Total </t>
  </si>
  <si>
    <t xml:space="preserve">Densidade Kg/m </t>
  </si>
  <si>
    <t>Peso/Pilar</t>
  </si>
  <si>
    <t xml:space="preserve">Qnd Pialres </t>
  </si>
  <si>
    <t>Perfilados em Aço</t>
  </si>
  <si>
    <t>U</t>
  </si>
  <si>
    <t>Ue 75x40x15x2,25</t>
  </si>
  <si>
    <t>U75x40x2,25</t>
  </si>
  <si>
    <t>U69x30x2,00</t>
  </si>
  <si>
    <t>Total Perfil ASTM36</t>
  </si>
  <si>
    <t>ARMAÇÃO DE PILAR OU VIGA DE ESTRUTURA CONVENCIONAL DE CONCRETO ARMADOUTILIZANDO AÇO CA-50 DE 6,3 MM - MONTAGEM.</t>
  </si>
  <si>
    <t xml:space="preserve">já atualizado sinapi 04/2023 </t>
  </si>
  <si>
    <t>Ref.: Tabela de Serviços SINAPI (ABRIL/2023)
e/ou composições PiniTCPO</t>
  </si>
  <si>
    <t>92419 MONTAGEM E DESMONTAGEM DE FÔRMA DE PILARES RETANGULARES E ESTRUTURAS S M2 CR 97,31
IMILARES, PÉ-DIREITO SIMPLES, EM CHAPA DE MADEIRA COMPENSADA RESINADA,
4 UTILIZAÇÕES. AF_09/2020</t>
  </si>
  <si>
    <t xml:space="preserve">Conforme Projeto Estrutural Metálico </t>
  </si>
  <si>
    <t xml:space="preserve">Conforme Projeto Estrutural Concreto Armado </t>
  </si>
  <si>
    <t xml:space="preserve">Conforme Detalhamento de Fundação </t>
  </si>
  <si>
    <t>CUMEEIRA NORMAL PERFIL TRAPEZOIDAL 40 EM AÇO REVESTIDO EM LIGA DE ALUMÍNIO (GALVALUME) SEM PINTURA,ESPESSURA DE 0,5 MM</t>
  </si>
  <si>
    <t>HASTE RETA PARA GANCHO DE FERRO GALVANIZADO, COM ROSCA 1/4 " X 30 CM PARA FIXACAO DE TELHA METALICA, INCLUI PORCA E ARRUELAS DE VEDACAO</t>
  </si>
  <si>
    <t>CJ</t>
  </si>
  <si>
    <t>GUINCHO ELÉTRICO DE COLUNA, CAPACIDADE 400 KG, COM MOTO FREIO, MOTOR TRIFÁSICO DE 1,25 CV - CHP DIURNO. AF_03/2016</t>
  </si>
  <si>
    <t>GUINCHO ELÉTRICO DE COLUNA, CAPACIDADE 400 KG, COM MOTO FREIO, MOTOR TRIFÁSICO DE 1,25 CV - CHI DIURNO. AF_03/2016</t>
  </si>
  <si>
    <t>CHI</t>
  </si>
  <si>
    <t>TELHADISTA COM ENCARGOS COMPLEMENTARES</t>
  </si>
  <si>
    <t>**COMPOSIÇÃO BASEADA NA TABELA SINAPI - CADERNO TÉCNICOS DE COMPOSIÇÕES PARA TELHAMENTO PARA COBERTURA, VERSÃO : V-001, VIGÊNCIA: 07/2019, PÁG 93 ,CÓD "01.COBE.TELH.045/01"</t>
  </si>
  <si>
    <t xml:space="preserve">CUMEEIRA NORMAL PARA TELHA TRAPEZOIDAL DE AÇO, E=0,5MM , INCLUSO ACESSÓRIOS DEFIXAÇÃO E IÇAMENTO. </t>
  </si>
  <si>
    <t>CUMEEIRA NORMAL PARA TELHA TRAPEZOIDAL DE AÇO, E=0,5MM , INCLUSO ACESSÓRIOS DEFIXAÇÃO E IÇAMENTO</t>
  </si>
  <si>
    <t>3.3</t>
  </si>
  <si>
    <t xml:space="preserve">Conforme Planta de cobertura </t>
  </si>
  <si>
    <t>3.1</t>
  </si>
  <si>
    <t>3.2</t>
  </si>
  <si>
    <t>3.4</t>
  </si>
  <si>
    <t>3.5</t>
  </si>
  <si>
    <t>3.6</t>
  </si>
  <si>
    <t>3.7</t>
  </si>
  <si>
    <t>3.8</t>
  </si>
  <si>
    <t>3.9</t>
  </si>
  <si>
    <t>Area de Cobertura (142,60m²) + Area de fechamento Frontal (10,52m²) e Traseiro (3,50m²)</t>
  </si>
  <si>
    <t>SERIÇOS PRELIMINARES</t>
  </si>
  <si>
    <t xml:space="preserve">ADMINISTRAÇÃO LOCAL </t>
  </si>
  <si>
    <t>2.1</t>
  </si>
  <si>
    <t>4.0</t>
  </si>
  <si>
    <t xml:space="preserve">AMPLIAÇÃO DA CHURRASQUEIRA COMUNITÁRIA DO PARQUE DE EXPOSIÇÕES </t>
  </si>
  <si>
    <t xml:space="preserve"> Parque de Exposições Dionísio Kolakowski (Avenida Brasil, S/N)</t>
  </si>
  <si>
    <t xml:space="preserve">AMPLIAÇÃO DA CHURRASQUEIRA COMUNITÁRIA DO PARQUE DE EXPOSIÇÕES  </t>
  </si>
  <si>
    <t>Parque de Exposições Dionísio Kolakowski (Avenida Brasil, S/N)</t>
  </si>
  <si>
    <t>SERVIÇOS PRELIMINARS</t>
  </si>
  <si>
    <t xml:space="preserve">ESTRUTURA EM CONCRETO ARMADO E FUNDAÇÕES </t>
  </si>
  <si>
    <t xml:space="preserve">ESTRUTURA METÁLICA </t>
  </si>
  <si>
    <t>COBERTURA</t>
  </si>
  <si>
    <t>4.1</t>
  </si>
  <si>
    <t>4.2</t>
  </si>
  <si>
    <t>5.0</t>
  </si>
  <si>
    <t>5.1</t>
  </si>
  <si>
    <t>5.2</t>
  </si>
  <si>
    <t xml:space="preserve">30 DIAS </t>
  </si>
  <si>
    <t>Parque de Exposições Dionísio Kolakowski (Avenida Brasil, 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</si>
</sst>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&quot;* #,##0.00_-;\-&quot;R$&quot;* #,##0.00_-;_-&quot;R$&quot;* &quot;-&quot;??_-;_-@_-"/>
    <numFmt numFmtId="165" formatCode="dd/mm/yyyy;@"/>
    <numFmt numFmtId="166" formatCode="0.000"/>
    <numFmt numFmtId="167" formatCode="0.0000"/>
    <numFmt numFmtId="168" formatCode="#,##0.000"/>
    <numFmt numFmtId="169" formatCode="#,##0.0000"/>
  </numFmts>
  <fonts count="53" x14ac:knownFonts="1">
    <font>
      <sz val="10"/>
      <color rgb="FF000000"/>
      <name val="Times New Roman"/>
      <charset val="204"/>
    </font>
    <font>
      <b/>
      <sz val="7"/>
      <name val="Arial"/>
      <family val="2"/>
    </font>
    <font>
      <sz val="6.5"/>
      <name val="Arial"/>
      <family val="2"/>
    </font>
    <font>
      <sz val="6.5"/>
      <color rgb="FF00000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5.5"/>
      <name val="Arial"/>
      <family val="2"/>
    </font>
    <font>
      <sz val="5.5"/>
      <name val="Arial"/>
      <family val="2"/>
    </font>
    <font>
      <sz val="5.5"/>
      <color rgb="FF000000"/>
      <name val="Arial"/>
      <family val="2"/>
    </font>
    <font>
      <b/>
      <sz val="5"/>
      <name val="Arial"/>
      <family val="2"/>
    </font>
    <font>
      <b/>
      <sz val="5.5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9.5"/>
      <name val="Arial"/>
      <family val="2"/>
    </font>
    <font>
      <b/>
      <sz val="9.5"/>
      <color rgb="FF000000"/>
      <name val="Arial"/>
      <family val="2"/>
    </font>
    <font>
      <b/>
      <sz val="6"/>
      <color rgb="FF000000"/>
      <name val="Arial"/>
      <family val="2"/>
    </font>
    <font>
      <b/>
      <sz val="10.5"/>
      <color rgb="FF000000"/>
      <name val="Arial"/>
      <family val="2"/>
    </font>
    <font>
      <sz val="5"/>
      <color rgb="FF000000"/>
      <name val="Arial"/>
      <family val="2"/>
    </font>
    <font>
      <b/>
      <sz val="6"/>
      <name val="Calibri"/>
      <family val="2"/>
    </font>
    <font>
      <sz val="5.5"/>
      <name val="Arial"/>
      <family val="2"/>
    </font>
    <font>
      <b/>
      <sz val="5.5"/>
      <name val="Arial"/>
      <family val="2"/>
    </font>
    <font>
      <sz val="6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/>
      <sz val="11"/>
      <name val="Arial"/>
      <family val="2"/>
    </font>
    <font>
      <b/>
      <sz val="7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8"/>
      <color theme="0"/>
      <name val="Arial"/>
      <family val="2"/>
    </font>
    <font>
      <b/>
      <sz val="5.5"/>
      <color rgb="FFC00000"/>
      <name val="Arial"/>
      <family val="2"/>
    </font>
    <font>
      <b/>
      <sz val="9"/>
      <color theme="0"/>
      <name val="Arial"/>
      <family val="2"/>
    </font>
    <font>
      <b/>
      <sz val="7"/>
      <color rgb="FFC00000"/>
      <name val="Arial"/>
      <family val="2"/>
    </font>
    <font>
      <b/>
      <sz val="8"/>
      <color rgb="FF000000"/>
      <name val="Arial"/>
      <family val="2"/>
    </font>
    <font>
      <sz val="6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Calibri"/>
      <family val="2"/>
    </font>
    <font>
      <b/>
      <sz val="5"/>
      <color theme="1"/>
      <name val="Arial"/>
      <family val="2"/>
    </font>
    <font>
      <sz val="5"/>
      <color rgb="FFFF0000"/>
      <name val="Arial"/>
      <family val="2"/>
    </font>
    <font>
      <b/>
      <sz val="5"/>
      <color rgb="FF000000"/>
      <name val="Arial"/>
      <family val="2"/>
    </font>
    <font>
      <b/>
      <sz val="5"/>
      <color rgb="FFC00000"/>
      <name val="Arial"/>
      <family val="2"/>
    </font>
    <font>
      <sz val="5"/>
      <name val="Arial"/>
      <family val="2"/>
    </font>
    <font>
      <b/>
      <sz val="5"/>
      <color theme="0"/>
      <name val="Arial"/>
      <family val="2"/>
    </font>
    <font>
      <sz val="5"/>
      <color theme="1"/>
      <name val="Arial"/>
      <family val="2"/>
    </font>
    <font>
      <sz val="10"/>
      <color rgb="FF00B050"/>
      <name val="Times New Roman"/>
      <family val="1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0" fontId="26" fillId="0" borderId="0"/>
  </cellStyleXfs>
  <cellXfs count="42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5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8" fillId="0" borderId="22" xfId="0" applyFont="1" applyBorder="1" applyAlignment="1">
      <alignment vertical="top" wrapText="1"/>
    </xf>
    <xf numFmtId="0" fontId="19" fillId="0" borderId="0" xfId="0" applyFont="1" applyAlignment="1">
      <alignment horizontal="center" vertical="center"/>
    </xf>
    <xf numFmtId="2" fontId="14" fillId="0" borderId="7" xfId="0" applyNumberFormat="1" applyFont="1" applyBorder="1" applyAlignment="1">
      <alignment horizontal="right" vertical="top" shrinkToFit="1"/>
    </xf>
    <xf numFmtId="2" fontId="14" fillId="0" borderId="7" xfId="0" applyNumberFormat="1" applyFont="1" applyBorder="1" applyAlignment="1">
      <alignment horizontal="right" vertical="center" shrinkToFit="1"/>
    </xf>
    <xf numFmtId="0" fontId="21" fillId="0" borderId="0" xfId="0" applyFont="1" applyAlignment="1">
      <alignment horizontal="left" vertical="top" wrapText="1"/>
    </xf>
    <xf numFmtId="164" fontId="4" fillId="0" borderId="0" xfId="1" applyFont="1" applyFill="1" applyBorder="1" applyAlignment="1">
      <alignment vertical="top" wrapText="1"/>
    </xf>
    <xf numFmtId="165" fontId="12" fillId="0" borderId="21" xfId="0" applyNumberFormat="1" applyFont="1" applyBorder="1" applyAlignment="1">
      <alignment horizontal="center" vertical="center" shrinkToFit="1"/>
    </xf>
    <xf numFmtId="165" fontId="12" fillId="0" borderId="26" xfId="0" applyNumberFormat="1" applyFont="1" applyBorder="1" applyAlignment="1">
      <alignment horizontal="center" vertical="center" shrinkToFit="1"/>
    </xf>
    <xf numFmtId="0" fontId="7" fillId="0" borderId="0" xfId="0" applyFont="1"/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165" fontId="12" fillId="0" borderId="2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8" fillId="0" borderId="22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12" fillId="0" borderId="0" xfId="1" applyFont="1" applyFill="1" applyBorder="1" applyAlignment="1">
      <alignment horizontal="left" vertical="center" shrinkToFit="1"/>
    </xf>
    <xf numFmtId="164" fontId="10" fillId="0" borderId="0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 wrapText="1" indent="1"/>
    </xf>
    <xf numFmtId="1" fontId="10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4" fillId="0" borderId="0" xfId="0" applyFont="1" applyAlignment="1">
      <alignment vertical="top"/>
    </xf>
    <xf numFmtId="10" fontId="30" fillId="0" borderId="16" xfId="0" applyNumberFormat="1" applyFont="1" applyBorder="1" applyAlignment="1">
      <alignment horizontal="center" shrinkToFit="1"/>
    </xf>
    <xf numFmtId="9" fontId="30" fillId="0" borderId="69" xfId="2" applyFont="1" applyFill="1" applyBorder="1" applyAlignment="1">
      <alignment horizontal="center"/>
    </xf>
    <xf numFmtId="1" fontId="17" fillId="4" borderId="46" xfId="0" applyNumberFormat="1" applyFont="1" applyFill="1" applyBorder="1" applyAlignment="1">
      <alignment horizontal="right" vertical="top" indent="2" shrinkToFit="1"/>
    </xf>
    <xf numFmtId="0" fontId="5" fillId="4" borderId="44" xfId="0" applyFont="1" applyFill="1" applyBorder="1" applyAlignment="1">
      <alignment horizontal="right" vertical="top" wrapText="1" indent="1"/>
    </xf>
    <xf numFmtId="0" fontId="36" fillId="0" borderId="0" xfId="0" applyFont="1" applyAlignment="1">
      <alignment vertical="top" wrapText="1"/>
    </xf>
    <xf numFmtId="0" fontId="15" fillId="0" borderId="8" xfId="0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left" vertical="center" shrinkToFit="1"/>
    </xf>
    <xf numFmtId="0" fontId="35" fillId="0" borderId="0" xfId="0" applyFont="1" applyAlignment="1">
      <alignment vertical="center" wrapText="1"/>
    </xf>
    <xf numFmtId="0" fontId="8" fillId="0" borderId="19" xfId="0" applyFont="1" applyBorder="1" applyAlignment="1">
      <alignment horizontal="right" vertical="top" wrapText="1"/>
    </xf>
    <xf numFmtId="0" fontId="8" fillId="0" borderId="24" xfId="0" applyFont="1" applyBorder="1" applyAlignment="1">
      <alignment horizontal="right" vertical="top" wrapText="1"/>
    </xf>
    <xf numFmtId="0" fontId="5" fillId="10" borderId="7" xfId="0" applyFont="1" applyFill="1" applyBorder="1" applyAlignment="1">
      <alignment horizontal="right" vertical="top" wrapText="1"/>
    </xf>
    <xf numFmtId="0" fontId="5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10" fontId="3" fillId="0" borderId="16" xfId="0" applyNumberFormat="1" applyFont="1" applyBorder="1" applyAlignment="1">
      <alignment horizontal="center" shrinkToFit="1"/>
    </xf>
    <xf numFmtId="10" fontId="3" fillId="0" borderId="49" xfId="0" applyNumberFormat="1" applyFont="1" applyBorder="1" applyAlignment="1">
      <alignment horizontal="center" shrinkToFit="1"/>
    </xf>
    <xf numFmtId="0" fontId="9" fillId="0" borderId="25" xfId="0" applyFont="1" applyBorder="1" applyAlignment="1">
      <alignment horizontal="left" vertical="center" wrapText="1"/>
    </xf>
    <xf numFmtId="9" fontId="30" fillId="10" borderId="57" xfId="2" applyFont="1" applyFill="1" applyBorder="1" applyAlignment="1">
      <alignment horizontal="center"/>
    </xf>
    <xf numFmtId="164" fontId="32" fillId="10" borderId="42" xfId="1" applyFont="1" applyFill="1" applyBorder="1" applyAlignment="1">
      <alignment horizontal="right"/>
    </xf>
    <xf numFmtId="10" fontId="30" fillId="8" borderId="68" xfId="0" applyNumberFormat="1" applyFont="1" applyFill="1" applyBorder="1" applyAlignment="1">
      <alignment horizontal="center" shrinkToFit="1"/>
    </xf>
    <xf numFmtId="9" fontId="30" fillId="8" borderId="57" xfId="2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 vertical="center" wrapText="1"/>
    </xf>
    <xf numFmtId="0" fontId="11" fillId="8" borderId="51" xfId="0" applyFont="1" applyFill="1" applyBorder="1" applyAlignment="1">
      <alignment horizontal="center" vertical="center" wrapText="1"/>
    </xf>
    <xf numFmtId="0" fontId="11" fillId="8" borderId="5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right" vertical="top" wrapText="1" indent="2"/>
    </xf>
    <xf numFmtId="0" fontId="5" fillId="2" borderId="45" xfId="0" applyFont="1" applyFill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" fontId="14" fillId="0" borderId="44" xfId="0" applyNumberFormat="1" applyFont="1" applyBorder="1" applyAlignment="1">
      <alignment horizontal="center" vertical="top" shrinkToFit="1"/>
    </xf>
    <xf numFmtId="4" fontId="14" fillId="0" borderId="45" xfId="0" applyNumberFormat="1" applyFont="1" applyBorder="1" applyAlignment="1">
      <alignment horizontal="right" vertical="top" shrinkToFit="1"/>
    </xf>
    <xf numFmtId="1" fontId="14" fillId="0" borderId="44" xfId="0" applyNumberFormat="1" applyFont="1" applyBorder="1" applyAlignment="1">
      <alignment horizontal="center" vertical="center" shrinkToFit="1"/>
    </xf>
    <xf numFmtId="4" fontId="5" fillId="10" borderId="45" xfId="0" applyNumberFormat="1" applyFont="1" applyFill="1" applyBorder="1" applyAlignment="1">
      <alignment horizontal="right" vertical="top" wrapText="1"/>
    </xf>
    <xf numFmtId="0" fontId="13" fillId="0" borderId="53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top" wrapText="1"/>
    </xf>
    <xf numFmtId="0" fontId="23" fillId="0" borderId="54" xfId="0" applyFont="1" applyBorder="1" applyAlignment="1">
      <alignment horizontal="left" vertical="top" wrapText="1" indent="5"/>
    </xf>
    <xf numFmtId="0" fontId="13" fillId="0" borderId="54" xfId="0" applyFont="1" applyBorder="1" applyAlignment="1">
      <alignment horizontal="left" vertical="top" wrapText="1" indent="5"/>
    </xf>
    <xf numFmtId="0" fontId="13" fillId="0" borderId="55" xfId="0" applyFont="1" applyBorder="1" applyAlignment="1">
      <alignment horizontal="left" vertical="top" wrapText="1" indent="5"/>
    </xf>
    <xf numFmtId="10" fontId="34" fillId="10" borderId="59" xfId="0" applyNumberFormat="1" applyFont="1" applyFill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wrapText="1"/>
    </xf>
    <xf numFmtId="10" fontId="39" fillId="0" borderId="10" xfId="0" applyNumberFormat="1" applyFont="1" applyBorder="1" applyAlignment="1">
      <alignment horizontal="left" vertical="center" shrinkToFit="1"/>
    </xf>
    <xf numFmtId="0" fontId="5" fillId="2" borderId="44" xfId="0" applyFont="1" applyFill="1" applyBorder="1" applyAlignment="1">
      <alignment horizontal="center" vertical="top" wrapText="1"/>
    </xf>
    <xf numFmtId="2" fontId="40" fillId="0" borderId="7" xfId="0" applyNumberFormat="1" applyFont="1" applyBorder="1" applyAlignment="1">
      <alignment horizontal="right" vertical="top" shrinkToFit="1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166" fontId="14" fillId="0" borderId="7" xfId="0" applyNumberFormat="1" applyFont="1" applyBorder="1" applyAlignment="1">
      <alignment horizontal="right" vertical="top" shrinkToFit="1"/>
    </xf>
    <xf numFmtId="167" fontId="14" fillId="0" borderId="7" xfId="0" applyNumberFormat="1" applyFont="1" applyBorder="1" applyAlignment="1">
      <alignment horizontal="right" vertical="top" shrinkToFit="1"/>
    </xf>
    <xf numFmtId="0" fontId="32" fillId="10" borderId="38" xfId="0" applyFont="1" applyFill="1" applyBorder="1" applyAlignment="1">
      <alignment horizontal="center" vertical="center"/>
    </xf>
    <xf numFmtId="164" fontId="30" fillId="0" borderId="69" xfId="1" applyFont="1" applyFill="1" applyBorder="1" applyAlignment="1">
      <alignment horizontal="right"/>
    </xf>
    <xf numFmtId="164" fontId="30" fillId="8" borderId="57" xfId="1" applyFont="1" applyFill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26" fillId="0" borderId="0" xfId="4"/>
    <xf numFmtId="0" fontId="42" fillId="0" borderId="0" xfId="4" applyFont="1" applyAlignment="1">
      <alignment vertical="center"/>
    </xf>
    <xf numFmtId="0" fontId="26" fillId="0" borderId="29" xfId="4" applyBorder="1" applyAlignment="1">
      <alignment vertical="center"/>
    </xf>
    <xf numFmtId="0" fontId="26" fillId="10" borderId="16" xfId="4" applyFill="1" applyBorder="1" applyAlignment="1">
      <alignment vertical="center"/>
    </xf>
    <xf numFmtId="0" fontId="26" fillId="0" borderId="30" xfId="4" applyBorder="1" applyAlignment="1">
      <alignment vertical="center"/>
    </xf>
    <xf numFmtId="0" fontId="26" fillId="0" borderId="29" xfId="4" applyBorder="1"/>
    <xf numFmtId="0" fontId="26" fillId="0" borderId="16" xfId="4" applyBorder="1"/>
    <xf numFmtId="10" fontId="26" fillId="0" borderId="30" xfId="2" applyNumberFormat="1" applyFont="1" applyBorder="1"/>
    <xf numFmtId="0" fontId="13" fillId="0" borderId="44" xfId="0" applyFont="1" applyBorder="1" applyAlignment="1">
      <alignment horizontal="right" vertical="top" wrapText="1" indent="1"/>
    </xf>
    <xf numFmtId="10" fontId="26" fillId="0" borderId="29" xfId="2" applyNumberFormat="1" applyFont="1" applyBorder="1" applyAlignment="1">
      <alignment vertical="center"/>
    </xf>
    <xf numFmtId="10" fontId="26" fillId="10" borderId="16" xfId="2" applyNumberFormat="1" applyFont="1" applyFill="1" applyBorder="1" applyAlignment="1">
      <alignment vertical="center"/>
    </xf>
    <xf numFmtId="10" fontId="26" fillId="0" borderId="30" xfId="2" applyNumberFormat="1" applyFont="1" applyBorder="1" applyAlignment="1">
      <alignment vertical="center"/>
    </xf>
    <xf numFmtId="0" fontId="26" fillId="0" borderId="36" xfId="4" applyBorder="1"/>
    <xf numFmtId="0" fontId="26" fillId="0" borderId="48" xfId="4" applyBorder="1"/>
    <xf numFmtId="0" fontId="26" fillId="0" borderId="37" xfId="4" applyBorder="1"/>
    <xf numFmtId="10" fontId="26" fillId="0" borderId="36" xfId="2" applyNumberFormat="1" applyFont="1" applyBorder="1" applyAlignment="1">
      <alignment vertical="center"/>
    </xf>
    <xf numFmtId="10" fontId="26" fillId="10" borderId="48" xfId="2" applyNumberFormat="1" applyFont="1" applyFill="1" applyBorder="1" applyAlignment="1">
      <alignment vertical="center"/>
    </xf>
    <xf numFmtId="10" fontId="26" fillId="0" borderId="37" xfId="2" applyNumberFormat="1" applyFont="1" applyBorder="1" applyAlignment="1">
      <alignment vertical="center"/>
    </xf>
    <xf numFmtId="10" fontId="42" fillId="0" borderId="0" xfId="2" applyNumberFormat="1" applyFont="1" applyAlignment="1">
      <alignment vertical="center"/>
    </xf>
    <xf numFmtId="10" fontId="26" fillId="0" borderId="63" xfId="2" applyNumberFormat="1" applyFont="1" applyBorder="1" applyAlignment="1">
      <alignment vertical="center"/>
    </xf>
    <xf numFmtId="10" fontId="26" fillId="0" borderId="68" xfId="2" applyNumberFormat="1" applyFont="1" applyBorder="1" applyAlignment="1">
      <alignment vertical="center"/>
    </xf>
    <xf numFmtId="10" fontId="26" fillId="0" borderId="60" xfId="2" applyNumberFormat="1" applyFont="1" applyBorder="1" applyAlignment="1">
      <alignment vertical="center"/>
    </xf>
    <xf numFmtId="0" fontId="42" fillId="0" borderId="19" xfId="4" applyFont="1" applyBorder="1"/>
    <xf numFmtId="0" fontId="43" fillId="0" borderId="20" xfId="4" applyFont="1" applyBorder="1" applyAlignment="1">
      <alignment vertical="center" wrapText="1"/>
    </xf>
    <xf numFmtId="0" fontId="42" fillId="0" borderId="20" xfId="4" applyFont="1" applyBorder="1"/>
    <xf numFmtId="0" fontId="42" fillId="0" borderId="21" xfId="4" applyFont="1" applyBorder="1"/>
    <xf numFmtId="0" fontId="42" fillId="0" borderId="22" xfId="4" applyFont="1" applyBorder="1"/>
    <xf numFmtId="0" fontId="42" fillId="0" borderId="23" xfId="4" applyFont="1" applyBorder="1"/>
    <xf numFmtId="0" fontId="43" fillId="0" borderId="0" xfId="4" applyFont="1" applyAlignment="1">
      <alignment horizontal="right" vertical="center"/>
    </xf>
    <xf numFmtId="40" fontId="42" fillId="0" borderId="0" xfId="4" applyNumberFormat="1" applyFont="1" applyAlignment="1">
      <alignment horizontal="center" vertical="center"/>
    </xf>
    <xf numFmtId="0" fontId="42" fillId="0" borderId="0" xfId="4" applyFont="1" applyAlignment="1">
      <alignment horizontal="left" vertical="center"/>
    </xf>
    <xf numFmtId="0" fontId="42" fillId="0" borderId="0" xfId="4" applyFont="1"/>
    <xf numFmtId="10" fontId="42" fillId="0" borderId="40" xfId="4" applyNumberFormat="1" applyFont="1" applyBorder="1" applyAlignment="1">
      <alignment horizontal="center" vertical="center"/>
    </xf>
    <xf numFmtId="0" fontId="42" fillId="0" borderId="0" xfId="4" applyFont="1" applyAlignment="1">
      <alignment horizontal="left"/>
    </xf>
    <xf numFmtId="9" fontId="42" fillId="0" borderId="40" xfId="4" applyNumberFormat="1" applyFont="1" applyBorder="1" applyAlignment="1">
      <alignment horizontal="center" vertical="center"/>
    </xf>
    <xf numFmtId="0" fontId="42" fillId="0" borderId="24" xfId="4" applyFont="1" applyBorder="1"/>
    <xf numFmtId="9" fontId="42" fillId="0" borderId="25" xfId="4" applyNumberFormat="1" applyFont="1" applyBorder="1" applyAlignment="1">
      <alignment horizontal="center" vertical="center"/>
    </xf>
    <xf numFmtId="0" fontId="42" fillId="0" borderId="25" xfId="4" applyFont="1" applyBorder="1" applyAlignment="1">
      <alignment horizontal="left" vertical="center"/>
    </xf>
    <xf numFmtId="0" fontId="42" fillId="0" borderId="25" xfId="4" applyFont="1" applyBorder="1"/>
    <xf numFmtId="0" fontId="42" fillId="0" borderId="26" xfId="4" applyFont="1" applyBorder="1"/>
    <xf numFmtId="0" fontId="6" fillId="0" borderId="12" xfId="0" applyFont="1" applyBorder="1" applyAlignment="1">
      <alignment horizontal="right" vertical="top" wrapText="1"/>
    </xf>
    <xf numFmtId="0" fontId="28" fillId="0" borderId="12" xfId="0" applyFont="1" applyBorder="1" applyAlignment="1">
      <alignment horizontal="center" vertical="top" wrapText="1"/>
    </xf>
    <xf numFmtId="4" fontId="0" fillId="0" borderId="0" xfId="0" applyNumberFormat="1" applyAlignment="1">
      <alignment horizontal="left" vertical="top"/>
    </xf>
    <xf numFmtId="168" fontId="14" fillId="0" borderId="45" xfId="0" applyNumberFormat="1" applyFont="1" applyBorder="1" applyAlignment="1">
      <alignment horizontal="right" vertical="top" shrinkToFit="1"/>
    </xf>
    <xf numFmtId="169" fontId="14" fillId="0" borderId="45" xfId="0" applyNumberFormat="1" applyFont="1" applyBorder="1" applyAlignment="1">
      <alignment horizontal="right" vertical="top" shrinkToFit="1"/>
    </xf>
    <xf numFmtId="2" fontId="40" fillId="0" borderId="7" xfId="0" applyNumberFormat="1" applyFont="1" applyBorder="1" applyAlignment="1">
      <alignment horizontal="right" vertical="center" shrinkToFit="1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19" fillId="0" borderId="0" xfId="0" applyFont="1" applyAlignment="1">
      <alignment horizontal="left" vertical="top"/>
    </xf>
    <xf numFmtId="0" fontId="11" fillId="0" borderId="22" xfId="0" applyFont="1" applyBorder="1" applyAlignment="1">
      <alignment horizontal="right" vertical="top" wrapText="1"/>
    </xf>
    <xf numFmtId="165" fontId="46" fillId="0" borderId="21" xfId="0" applyNumberFormat="1" applyFont="1" applyBorder="1" applyAlignment="1">
      <alignment horizontal="center" vertical="center" shrinkToFit="1"/>
    </xf>
    <xf numFmtId="165" fontId="46" fillId="0" borderId="26" xfId="0" applyNumberFormat="1" applyFont="1" applyBorder="1" applyAlignment="1">
      <alignment horizontal="center" vertical="center" shrinkToFit="1"/>
    </xf>
    <xf numFmtId="0" fontId="11" fillId="5" borderId="40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left" vertical="center" wrapText="1"/>
    </xf>
    <xf numFmtId="164" fontId="46" fillId="5" borderId="42" xfId="1" applyFont="1" applyFill="1" applyBorder="1" applyAlignment="1">
      <alignment horizontal="left" vertical="center" shrinkToFit="1"/>
    </xf>
    <xf numFmtId="0" fontId="48" fillId="0" borderId="11" xfId="0" applyFont="1" applyBorder="1" applyAlignment="1">
      <alignment horizontal="center" vertical="top" wrapText="1"/>
    </xf>
    <xf numFmtId="164" fontId="19" fillId="0" borderId="47" xfId="1" applyFont="1" applyFill="1" applyBorder="1" applyAlignment="1">
      <alignment horizontal="center" vertical="center" shrinkToFit="1"/>
    </xf>
    <xf numFmtId="0" fontId="48" fillId="0" borderId="4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left" vertical="top" wrapText="1"/>
    </xf>
    <xf numFmtId="0" fontId="48" fillId="0" borderId="16" xfId="0" applyFont="1" applyBorder="1" applyAlignment="1">
      <alignment horizontal="center" vertical="center" wrapText="1"/>
    </xf>
    <xf numFmtId="0" fontId="48" fillId="4" borderId="29" xfId="0" applyFont="1" applyFill="1" applyBorder="1" applyAlignment="1">
      <alignment horizontal="center" vertical="center" wrapText="1"/>
    </xf>
    <xf numFmtId="1" fontId="19" fillId="4" borderId="16" xfId="0" applyNumberFormat="1" applyFont="1" applyFill="1" applyBorder="1" applyAlignment="1">
      <alignment horizontal="center" vertical="center" shrinkToFit="1"/>
    </xf>
    <xf numFmtId="0" fontId="48" fillId="4" borderId="16" xfId="0" applyFont="1" applyFill="1" applyBorder="1" applyAlignment="1">
      <alignment horizontal="center" vertical="top" wrapText="1"/>
    </xf>
    <xf numFmtId="0" fontId="48" fillId="4" borderId="16" xfId="0" applyFont="1" applyFill="1" applyBorder="1" applyAlignment="1">
      <alignment horizontal="center" vertical="center" wrapText="1"/>
    </xf>
    <xf numFmtId="2" fontId="19" fillId="4" borderId="16" xfId="0" applyNumberFormat="1" applyFont="1" applyFill="1" applyBorder="1" applyAlignment="1">
      <alignment horizontal="center" vertical="center" shrinkToFit="1"/>
    </xf>
    <xf numFmtId="164" fontId="19" fillId="4" borderId="16" xfId="1" applyFont="1" applyFill="1" applyBorder="1" applyAlignment="1">
      <alignment horizontal="center" vertical="center" shrinkToFit="1"/>
    </xf>
    <xf numFmtId="0" fontId="48" fillId="0" borderId="29" xfId="0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shrinkToFit="1"/>
    </xf>
    <xf numFmtId="2" fontId="50" fillId="0" borderId="16" xfId="0" applyNumberFormat="1" applyFont="1" applyBorder="1" applyAlignment="1">
      <alignment horizontal="center" vertical="center" shrinkToFit="1"/>
    </xf>
    <xf numFmtId="164" fontId="19" fillId="0" borderId="16" xfId="1" applyFont="1" applyFill="1" applyBorder="1" applyAlignment="1">
      <alignment horizontal="center" vertical="center" shrinkToFit="1"/>
    </xf>
    <xf numFmtId="164" fontId="19" fillId="0" borderId="30" xfId="1" applyFont="1" applyFill="1" applyBorder="1" applyAlignment="1">
      <alignment horizontal="center" vertical="center" shrinkToFit="1"/>
    </xf>
    <xf numFmtId="164" fontId="50" fillId="0" borderId="11" xfId="1" applyFont="1" applyFill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wrapText="1"/>
    </xf>
    <xf numFmtId="1" fontId="19" fillId="0" borderId="49" xfId="0" applyNumberFormat="1" applyFont="1" applyBorder="1" applyAlignment="1">
      <alignment horizontal="center" vertical="center" shrinkToFit="1"/>
    </xf>
    <xf numFmtId="0" fontId="48" fillId="0" borderId="49" xfId="0" applyFont="1" applyBorder="1" applyAlignment="1">
      <alignment horizontal="left" vertical="top" wrapText="1"/>
    </xf>
    <xf numFmtId="0" fontId="48" fillId="0" borderId="49" xfId="0" applyFont="1" applyBorder="1" applyAlignment="1">
      <alignment horizontal="center" vertical="center" wrapText="1"/>
    </xf>
    <xf numFmtId="164" fontId="19" fillId="0" borderId="83" xfId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2" fontId="19" fillId="0" borderId="49" xfId="0" applyNumberFormat="1" applyFont="1" applyBorder="1" applyAlignment="1">
      <alignment horizontal="center" vertical="center" shrinkToFit="1"/>
    </xf>
    <xf numFmtId="164" fontId="50" fillId="0" borderId="4" xfId="1" applyFont="1" applyFill="1" applyBorder="1" applyAlignment="1">
      <alignment horizontal="center" vertical="center" shrinkToFit="1"/>
    </xf>
    <xf numFmtId="164" fontId="19" fillId="0" borderId="49" xfId="1" applyFont="1" applyFill="1" applyBorder="1" applyAlignment="1">
      <alignment horizontal="center" vertical="center" shrinkToFit="1"/>
    </xf>
    <xf numFmtId="164" fontId="19" fillId="4" borderId="30" xfId="1" applyFont="1" applyFill="1" applyBorder="1" applyAlignment="1">
      <alignment horizontal="center" vertical="center" shrinkToFit="1"/>
    </xf>
    <xf numFmtId="0" fontId="48" fillId="0" borderId="27" xfId="0" applyFont="1" applyBorder="1" applyAlignment="1">
      <alignment horizontal="left" vertical="top" wrapText="1"/>
    </xf>
    <xf numFmtId="1" fontId="19" fillId="0" borderId="27" xfId="0" applyNumberFormat="1" applyFont="1" applyBorder="1" applyAlignment="1">
      <alignment horizontal="center" vertical="center" shrinkToFit="1"/>
    </xf>
    <xf numFmtId="164" fontId="19" fillId="0" borderId="48" xfId="1" applyFont="1" applyFill="1" applyBorder="1" applyAlignment="1">
      <alignment horizontal="center" vertical="center" shrinkToFit="1"/>
    </xf>
    <xf numFmtId="0" fontId="48" fillId="0" borderId="36" xfId="0" applyFont="1" applyBorder="1" applyAlignment="1">
      <alignment horizontal="center" vertical="center" wrapText="1"/>
    </xf>
    <xf numFmtId="1" fontId="19" fillId="0" borderId="48" xfId="0" applyNumberFormat="1" applyFont="1" applyBorder="1" applyAlignment="1">
      <alignment horizontal="center" vertical="center" shrinkToFit="1"/>
    </xf>
    <xf numFmtId="0" fontId="48" fillId="0" borderId="48" xfId="0" applyFont="1" applyBorder="1" applyAlignment="1">
      <alignment horizontal="left" vertical="top" wrapText="1"/>
    </xf>
    <xf numFmtId="0" fontId="48" fillId="0" borderId="48" xfId="0" applyFont="1" applyBorder="1" applyAlignment="1">
      <alignment horizontal="center" vertical="center" wrapText="1"/>
    </xf>
    <xf numFmtId="164" fontId="19" fillId="0" borderId="37" xfId="1" applyFont="1" applyFill="1" applyBorder="1" applyAlignment="1">
      <alignment horizontal="center" vertical="center" shrinkToFit="1"/>
    </xf>
    <xf numFmtId="164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vertical="top"/>
    </xf>
    <xf numFmtId="0" fontId="46" fillId="0" borderId="0" xfId="0" applyFont="1"/>
    <xf numFmtId="0" fontId="24" fillId="0" borderId="0" xfId="0" applyFont="1" applyAlignment="1">
      <alignment horizontal="center" vertical="top"/>
    </xf>
    <xf numFmtId="2" fontId="50" fillId="0" borderId="49" xfId="0" applyNumberFormat="1" applyFont="1" applyBorder="1" applyAlignment="1">
      <alignment horizontal="center" vertical="center" shrinkToFit="1"/>
    </xf>
    <xf numFmtId="164" fontId="50" fillId="0" borderId="16" xfId="1" applyFont="1" applyFill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right" vertical="center" wrapText="1"/>
    </xf>
    <xf numFmtId="0" fontId="45" fillId="0" borderId="0" xfId="0" applyFont="1" applyAlignment="1">
      <alignment horizontal="center" vertical="center"/>
    </xf>
    <xf numFmtId="164" fontId="50" fillId="0" borderId="48" xfId="1" applyFont="1" applyFill="1" applyBorder="1" applyAlignment="1">
      <alignment horizontal="center" vertical="center" shrinkToFit="1"/>
    </xf>
    <xf numFmtId="164" fontId="11" fillId="8" borderId="51" xfId="1" applyFont="1" applyFill="1" applyBorder="1" applyAlignment="1">
      <alignment horizontal="center" vertical="center" wrapText="1"/>
    </xf>
    <xf numFmtId="164" fontId="19" fillId="5" borderId="41" xfId="1" applyFont="1" applyFill="1" applyBorder="1" applyAlignment="1">
      <alignment horizontal="left" vertical="center" wrapText="1"/>
    </xf>
    <xf numFmtId="164" fontId="19" fillId="0" borderId="0" xfId="1" applyFont="1" applyAlignment="1">
      <alignment vertical="top"/>
    </xf>
    <xf numFmtId="164" fontId="46" fillId="0" borderId="0" xfId="1" applyFont="1"/>
    <xf numFmtId="164" fontId="19" fillId="0" borderId="0" xfId="1" applyFont="1" applyAlignment="1">
      <alignment horizontal="left" vertical="top"/>
    </xf>
    <xf numFmtId="0" fontId="37" fillId="7" borderId="1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top"/>
    </xf>
    <xf numFmtId="2" fontId="50" fillId="0" borderId="48" xfId="0" applyNumberFormat="1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shrinkToFit="1"/>
    </xf>
    <xf numFmtId="0" fontId="48" fillId="0" borderId="0" xfId="0" applyFont="1" applyAlignment="1">
      <alignment horizontal="left" vertical="top" wrapText="1"/>
    </xf>
    <xf numFmtId="2" fontId="19" fillId="0" borderId="0" xfId="0" applyNumberFormat="1" applyFont="1" applyAlignment="1">
      <alignment horizontal="center" vertical="center" shrinkToFit="1"/>
    </xf>
    <xf numFmtId="164" fontId="50" fillId="0" borderId="0" xfId="1" applyFont="1" applyFill="1" applyBorder="1" applyAlignment="1">
      <alignment horizontal="center" vertical="center" shrinkToFit="1"/>
    </xf>
    <xf numFmtId="164" fontId="19" fillId="0" borderId="0" xfId="1" applyFont="1" applyFill="1" applyBorder="1" applyAlignment="1">
      <alignment horizontal="center" vertical="center" shrinkToFit="1"/>
    </xf>
    <xf numFmtId="0" fontId="19" fillId="11" borderId="16" xfId="0" applyFont="1" applyFill="1" applyBorder="1" applyAlignment="1">
      <alignment horizontal="left" vertical="top"/>
    </xf>
    <xf numFmtId="0" fontId="48" fillId="0" borderId="72" xfId="0" applyFont="1" applyBorder="1" applyAlignment="1">
      <alignment horizontal="center" vertical="top" wrapText="1"/>
    </xf>
    <xf numFmtId="0" fontId="48" fillId="0" borderId="4" xfId="0" applyFont="1" applyBorder="1" applyAlignment="1">
      <alignment horizontal="center" vertical="top" wrapText="1"/>
    </xf>
    <xf numFmtId="0" fontId="48" fillId="0" borderId="4" xfId="0" applyFont="1" applyBorder="1" applyAlignment="1">
      <alignment horizontal="left" vertical="top" wrapText="1"/>
    </xf>
    <xf numFmtId="0" fontId="48" fillId="0" borderId="4" xfId="0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shrinkToFit="1"/>
    </xf>
    <xf numFmtId="164" fontId="19" fillId="0" borderId="4" xfId="1" applyFont="1" applyFill="1" applyBorder="1" applyAlignment="1">
      <alignment horizontal="center" vertical="center" shrinkToFit="1"/>
    </xf>
    <xf numFmtId="0" fontId="48" fillId="0" borderId="84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top" wrapText="1"/>
    </xf>
    <xf numFmtId="164" fontId="19" fillId="0" borderId="82" xfId="1" applyFont="1" applyFill="1" applyBorder="1" applyAlignment="1">
      <alignment horizontal="center" vertical="center" shrinkToFit="1"/>
    </xf>
    <xf numFmtId="0" fontId="19" fillId="11" borderId="0" xfId="0" applyFont="1" applyFill="1" applyAlignment="1">
      <alignment horizontal="left" vertical="top"/>
    </xf>
    <xf numFmtId="10" fontId="7" fillId="0" borderId="85" xfId="0" applyNumberFormat="1" applyFont="1" applyBorder="1" applyAlignment="1">
      <alignment horizontal="center" vertical="top" shrinkToFit="1"/>
    </xf>
    <xf numFmtId="0" fontId="29" fillId="0" borderId="29" xfId="0" applyFont="1" applyBorder="1" applyAlignment="1">
      <alignment horizontal="center" wrapText="1"/>
    </xf>
    <xf numFmtId="0" fontId="38" fillId="2" borderId="40" xfId="0" applyFont="1" applyFill="1" applyBorder="1" applyAlignment="1">
      <alignment horizontal="center" vertical="center" wrapText="1"/>
    </xf>
    <xf numFmtId="0" fontId="38" fillId="2" borderId="41" xfId="0" applyFont="1" applyFill="1" applyBorder="1" applyAlignment="1">
      <alignment horizontal="center" vertical="center" wrapText="1"/>
    </xf>
    <xf numFmtId="0" fontId="38" fillId="2" borderId="4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5" fillId="7" borderId="40" xfId="0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horizontal="center" vertical="center" wrapText="1"/>
    </xf>
    <xf numFmtId="0" fontId="35" fillId="7" borderId="42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right" wrapText="1"/>
    </xf>
    <xf numFmtId="0" fontId="4" fillId="8" borderId="41" xfId="0" applyFont="1" applyFill="1" applyBorder="1" applyAlignment="1">
      <alignment horizontal="right" wrapText="1"/>
    </xf>
    <xf numFmtId="0" fontId="4" fillId="8" borderId="58" xfId="0" applyFont="1" applyFill="1" applyBorder="1" applyAlignment="1">
      <alignment horizontal="right" wrapText="1"/>
    </xf>
    <xf numFmtId="164" fontId="4" fillId="10" borderId="40" xfId="1" applyFont="1" applyFill="1" applyBorder="1" applyAlignment="1">
      <alignment horizontal="left" wrapText="1"/>
    </xf>
    <xf numFmtId="164" fontId="4" fillId="10" borderId="42" xfId="1" applyFont="1" applyFill="1" applyBorder="1" applyAlignment="1">
      <alignment horizontal="left" wrapText="1"/>
    </xf>
    <xf numFmtId="0" fontId="2" fillId="0" borderId="31" xfId="0" applyFont="1" applyBorder="1" applyAlignment="1">
      <alignment horizontal="left" wrapText="1"/>
    </xf>
    <xf numFmtId="0" fontId="2" fillId="0" borderId="32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164" fontId="3" fillId="0" borderId="16" xfId="1" applyFont="1" applyFill="1" applyBorder="1" applyAlignment="1">
      <alignment horizontal="left" shrinkToFit="1"/>
    </xf>
    <xf numFmtId="164" fontId="3" fillId="0" borderId="30" xfId="1" applyFont="1" applyFill="1" applyBorder="1" applyAlignment="1">
      <alignment horizontal="left" shrinkToFit="1"/>
    </xf>
    <xf numFmtId="164" fontId="3" fillId="0" borderId="49" xfId="1" applyFont="1" applyFill="1" applyBorder="1" applyAlignment="1">
      <alignment horizontal="left" shrinkToFit="1"/>
    </xf>
    <xf numFmtId="164" fontId="3" fillId="0" borderId="82" xfId="1" applyFont="1" applyFill="1" applyBorder="1" applyAlignment="1">
      <alignment horizontal="left" shrinkToFit="1"/>
    </xf>
    <xf numFmtId="0" fontId="0" fillId="6" borderId="40" xfId="0" applyFill="1" applyBorder="1" applyAlignment="1">
      <alignment horizontal="left" wrapText="1"/>
    </xf>
    <xf numFmtId="0" fontId="0" fillId="6" borderId="41" xfId="0" applyFill="1" applyBorder="1" applyAlignment="1">
      <alignment horizontal="left" wrapText="1"/>
    </xf>
    <xf numFmtId="0" fontId="0" fillId="6" borderId="42" xfId="0" applyFill="1" applyBorder="1" applyAlignment="1">
      <alignment horizontal="left" wrapText="1"/>
    </xf>
    <xf numFmtId="0" fontId="0" fillId="0" borderId="2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1" fillId="0" borderId="5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 indent="3"/>
    </xf>
    <xf numFmtId="0" fontId="5" fillId="0" borderId="9" xfId="0" applyFont="1" applyBorder="1" applyAlignment="1">
      <alignment horizontal="left" vertical="center" wrapText="1" indent="3"/>
    </xf>
    <xf numFmtId="0" fontId="5" fillId="0" borderId="10" xfId="0" applyFont="1" applyBorder="1" applyAlignment="1">
      <alignment horizontal="left" vertical="center" wrapText="1" indent="3"/>
    </xf>
    <xf numFmtId="10" fontId="39" fillId="0" borderId="15" xfId="0" applyNumberFormat="1" applyFont="1" applyBorder="1" applyAlignment="1">
      <alignment horizontal="left" vertical="top" indent="2" shrinkToFit="1"/>
    </xf>
    <xf numFmtId="10" fontId="39" fillId="0" borderId="13" xfId="0" applyNumberFormat="1" applyFont="1" applyBorder="1" applyAlignment="1">
      <alignment horizontal="left" vertical="top" indent="2" shrinkToFit="1"/>
    </xf>
    <xf numFmtId="0" fontId="19" fillId="6" borderId="40" xfId="0" applyFont="1" applyFill="1" applyBorder="1" applyAlignment="1">
      <alignment horizontal="left" wrapText="1"/>
    </xf>
    <xf numFmtId="0" fontId="19" fillId="6" borderId="41" xfId="0" applyFont="1" applyFill="1" applyBorder="1" applyAlignment="1">
      <alignment horizontal="left" wrapText="1"/>
    </xf>
    <xf numFmtId="0" fontId="19" fillId="6" borderId="42" xfId="0" applyFont="1" applyFill="1" applyBorder="1" applyAlignment="1">
      <alignment horizontal="left" wrapText="1"/>
    </xf>
    <xf numFmtId="0" fontId="19" fillId="0" borderId="2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 wrapText="1" indent="3"/>
    </xf>
    <xf numFmtId="0" fontId="28" fillId="0" borderId="9" xfId="0" applyFont="1" applyBorder="1" applyAlignment="1">
      <alignment horizontal="left" vertical="top" wrapText="1" indent="3"/>
    </xf>
    <xf numFmtId="0" fontId="28" fillId="0" borderId="10" xfId="0" applyFont="1" applyBorder="1" applyAlignment="1">
      <alignment horizontal="left" vertical="top" wrapText="1" indent="3"/>
    </xf>
    <xf numFmtId="10" fontId="39" fillId="0" borderId="15" xfId="0" applyNumberFormat="1" applyFont="1" applyBorder="1" applyAlignment="1">
      <alignment horizontal="center" vertical="center" shrinkToFit="1"/>
    </xf>
    <xf numFmtId="10" fontId="39" fillId="0" borderId="13" xfId="0" applyNumberFormat="1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33" fillId="0" borderId="5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47" fillId="8" borderId="40" xfId="0" applyFont="1" applyFill="1" applyBorder="1" applyAlignment="1">
      <alignment horizontal="center" vertical="top" wrapText="1"/>
    </xf>
    <xf numFmtId="0" fontId="47" fillId="8" borderId="41" xfId="0" applyFont="1" applyFill="1" applyBorder="1" applyAlignment="1">
      <alignment horizontal="center" vertical="top" wrapText="1"/>
    </xf>
    <xf numFmtId="0" fontId="47" fillId="8" borderId="42" xfId="0" applyFont="1" applyFill="1" applyBorder="1" applyAlignment="1">
      <alignment horizontal="center" vertical="top" wrapText="1"/>
    </xf>
    <xf numFmtId="0" fontId="49" fillId="7" borderId="40" xfId="0" applyFont="1" applyFill="1" applyBorder="1" applyAlignment="1">
      <alignment horizontal="center" vertical="center" wrapText="1"/>
    </xf>
    <xf numFmtId="0" fontId="49" fillId="7" borderId="41" xfId="0" applyFont="1" applyFill="1" applyBorder="1" applyAlignment="1">
      <alignment horizontal="center" vertical="center" wrapText="1"/>
    </xf>
    <xf numFmtId="0" fontId="49" fillId="7" borderId="42" xfId="0" applyFont="1" applyFill="1" applyBorder="1" applyAlignment="1">
      <alignment horizontal="center" vertical="center" wrapText="1"/>
    </xf>
    <xf numFmtId="164" fontId="6" fillId="10" borderId="40" xfId="1" applyFont="1" applyFill="1" applyBorder="1" applyAlignment="1">
      <alignment horizontal="center" vertical="center" wrapText="1"/>
    </xf>
    <xf numFmtId="164" fontId="6" fillId="10" borderId="42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11" fillId="5" borderId="4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8" fillId="0" borderId="65" xfId="0" applyFont="1" applyBorder="1" applyAlignment="1">
      <alignment horizontal="center" vertical="top" wrapText="1"/>
    </xf>
    <xf numFmtId="0" fontId="8" fillId="0" borderId="7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77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36" fillId="8" borderId="40" xfId="0" applyFont="1" applyFill="1" applyBorder="1" applyAlignment="1">
      <alignment horizontal="center" vertical="top" wrapText="1"/>
    </xf>
    <xf numFmtId="0" fontId="36" fillId="8" borderId="41" xfId="0" applyFont="1" applyFill="1" applyBorder="1" applyAlignment="1">
      <alignment horizontal="center" vertical="top" wrapText="1"/>
    </xf>
    <xf numFmtId="0" fontId="36" fillId="8" borderId="42" xfId="0" applyFont="1" applyFill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20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1" fillId="9" borderId="78" xfId="0" applyFont="1" applyFill="1" applyBorder="1" applyAlignment="1">
      <alignment horizontal="center" vertical="center" wrapText="1"/>
    </xf>
    <xf numFmtId="0" fontId="1" fillId="9" borderId="79" xfId="0" applyFont="1" applyFill="1" applyBorder="1" applyAlignment="1">
      <alignment horizontal="center" vertical="center" wrapText="1"/>
    </xf>
    <xf numFmtId="0" fontId="1" fillId="9" borderId="8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1" fillId="10" borderId="40" xfId="1" applyFont="1" applyFill="1" applyBorder="1" applyAlignment="1">
      <alignment horizontal="right" wrapText="1"/>
    </xf>
    <xf numFmtId="164" fontId="1" fillId="10" borderId="41" xfId="1" applyFont="1" applyFill="1" applyBorder="1" applyAlignment="1">
      <alignment horizontal="right" wrapText="1"/>
    </xf>
    <xf numFmtId="0" fontId="13" fillId="0" borderId="16" xfId="0" applyFont="1" applyBorder="1" applyAlignment="1">
      <alignment horizontal="left" wrapText="1"/>
    </xf>
    <xf numFmtId="0" fontId="1" fillId="8" borderId="40" xfId="0" applyFont="1" applyFill="1" applyBorder="1" applyAlignment="1">
      <alignment horizontal="left" wrapText="1"/>
    </xf>
    <xf numFmtId="0" fontId="1" fillId="8" borderId="41" xfId="0" applyFont="1" applyFill="1" applyBorder="1" applyAlignment="1">
      <alignment horizontal="left" wrapText="1"/>
    </xf>
    <xf numFmtId="0" fontId="1" fillId="8" borderId="61" xfId="0" applyFont="1" applyFill="1" applyBorder="1" applyAlignment="1">
      <alignment horizontal="left" wrapText="1"/>
    </xf>
    <xf numFmtId="164" fontId="30" fillId="0" borderId="16" xfId="1" applyFont="1" applyFill="1" applyBorder="1" applyAlignment="1">
      <alignment shrinkToFit="1"/>
    </xf>
    <xf numFmtId="164" fontId="30" fillId="0" borderId="31" xfId="1" applyFont="1" applyFill="1" applyBorder="1" applyAlignment="1">
      <alignment shrinkToFit="1"/>
    </xf>
    <xf numFmtId="164" fontId="30" fillId="8" borderId="62" xfId="1" applyFont="1" applyFill="1" applyBorder="1" applyAlignment="1">
      <alignment shrinkToFit="1"/>
    </xf>
    <xf numFmtId="164" fontId="30" fillId="8" borderId="41" xfId="1" applyFont="1" applyFill="1" applyBorder="1" applyAlignment="1">
      <alignment shrinkToFit="1"/>
    </xf>
    <xf numFmtId="0" fontId="35" fillId="7" borderId="71" xfId="0" applyFont="1" applyFill="1" applyBorder="1" applyAlignment="1">
      <alignment horizontal="center" vertical="center" wrapText="1"/>
    </xf>
    <xf numFmtId="0" fontId="35" fillId="7" borderId="66" xfId="0" applyFont="1" applyFill="1" applyBorder="1" applyAlignment="1">
      <alignment horizontal="center" vertical="center" wrapText="1"/>
    </xf>
    <xf numFmtId="0" fontId="35" fillId="7" borderId="7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8" borderId="70" xfId="0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 wrapText="1"/>
    </xf>
    <xf numFmtId="0" fontId="5" fillId="8" borderId="75" xfId="0" applyFont="1" applyFill="1" applyBorder="1" applyAlignment="1">
      <alignment horizontal="center" vertical="top" wrapText="1"/>
    </xf>
    <xf numFmtId="0" fontId="0" fillId="0" borderId="4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6" borderId="19" xfId="0" applyFill="1" applyBorder="1" applyAlignment="1">
      <alignment horizontal="left" wrapText="1"/>
    </xf>
    <xf numFmtId="0" fontId="0" fillId="6" borderId="20" xfId="0" applyFill="1" applyBorder="1" applyAlignment="1">
      <alignment horizontal="left" wrapText="1"/>
    </xf>
    <xf numFmtId="0" fontId="0" fillId="6" borderId="21" xfId="0" applyFill="1" applyBorder="1" applyAlignment="1">
      <alignment horizontal="left" wrapText="1"/>
    </xf>
    <xf numFmtId="0" fontId="0" fillId="0" borderId="7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31" fillId="0" borderId="1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0" fillId="0" borderId="76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9" fillId="0" borderId="2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 indent="5"/>
    </xf>
    <xf numFmtId="0" fontId="13" fillId="0" borderId="9" xfId="0" applyFont="1" applyBorder="1" applyAlignment="1">
      <alignment horizontal="left" vertical="top" wrapText="1" indent="5"/>
    </xf>
    <xf numFmtId="0" fontId="13" fillId="0" borderId="75" xfId="0" applyFont="1" applyBorder="1" applyAlignment="1">
      <alignment horizontal="left" vertical="top" wrapText="1" indent="5"/>
    </xf>
    <xf numFmtId="0" fontId="5" fillId="3" borderId="70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75" xfId="0" applyFont="1" applyFill="1" applyBorder="1" applyAlignment="1">
      <alignment horizontal="center" vertical="top" wrapText="1"/>
    </xf>
    <xf numFmtId="0" fontId="5" fillId="0" borderId="7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75" xfId="0" applyFont="1" applyBorder="1" applyAlignment="1">
      <alignment horizontal="center" vertical="top" wrapText="1"/>
    </xf>
    <xf numFmtId="0" fontId="13" fillId="0" borderId="70" xfId="0" applyFont="1" applyBorder="1" applyAlignment="1">
      <alignment horizontal="left" vertical="top" wrapText="1" indent="8"/>
    </xf>
    <xf numFmtId="0" fontId="13" fillId="0" borderId="10" xfId="0" applyFont="1" applyBorder="1" applyAlignment="1">
      <alignment horizontal="left" vertical="top" wrapText="1" indent="8"/>
    </xf>
    <xf numFmtId="0" fontId="41" fillId="0" borderId="76" xfId="0" applyFont="1" applyBorder="1" applyAlignment="1">
      <alignment horizontal="left" wrapText="1"/>
    </xf>
    <xf numFmtId="0" fontId="41" fillId="0" borderId="2" xfId="0" applyFont="1" applyBorder="1" applyAlignment="1">
      <alignment horizontal="left" wrapText="1"/>
    </xf>
    <xf numFmtId="0" fontId="41" fillId="0" borderId="73" xfId="0" applyFont="1" applyBorder="1" applyAlignment="1">
      <alignment horizontal="left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top" wrapText="1"/>
    </xf>
    <xf numFmtId="0" fontId="44" fillId="0" borderId="3" xfId="0" applyFont="1" applyBorder="1" applyAlignment="1">
      <alignment horizontal="center" vertical="top" wrapText="1"/>
    </xf>
    <xf numFmtId="0" fontId="36" fillId="8" borderId="40" xfId="0" applyFont="1" applyFill="1" applyBorder="1" applyAlignment="1">
      <alignment horizontal="center" vertical="center" wrapText="1"/>
    </xf>
    <xf numFmtId="0" fontId="36" fillId="8" borderId="41" xfId="0" applyFont="1" applyFill="1" applyBorder="1" applyAlignment="1">
      <alignment horizontal="center" vertical="center" wrapText="1"/>
    </xf>
    <xf numFmtId="0" fontId="36" fillId="8" borderId="42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1" fontId="28" fillId="0" borderId="40" xfId="4" applyNumberFormat="1" applyFont="1" applyBorder="1" applyAlignment="1">
      <alignment horizontal="center" vertical="center"/>
    </xf>
    <xf numFmtId="1" fontId="28" fillId="0" borderId="41" xfId="4" applyNumberFormat="1" applyFont="1" applyBorder="1" applyAlignment="1">
      <alignment horizontal="center" vertical="center"/>
    </xf>
    <xf numFmtId="1" fontId="28" fillId="0" borderId="42" xfId="4" applyNumberFormat="1" applyFont="1" applyBorder="1" applyAlignment="1">
      <alignment horizontal="center" vertical="center"/>
    </xf>
    <xf numFmtId="0" fontId="42" fillId="0" borderId="41" xfId="4" applyFont="1" applyBorder="1" applyAlignment="1">
      <alignment horizontal="left" vertical="center"/>
    </xf>
    <xf numFmtId="0" fontId="42" fillId="0" borderId="42" xfId="4" applyFont="1" applyBorder="1" applyAlignment="1">
      <alignment horizontal="left" vertical="center"/>
    </xf>
    <xf numFmtId="0" fontId="5" fillId="5" borderId="7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10" fontId="18" fillId="10" borderId="63" xfId="0" applyNumberFormat="1" applyFont="1" applyFill="1" applyBorder="1" applyAlignment="1">
      <alignment horizontal="center" vertical="center" shrinkToFit="1"/>
    </xf>
    <xf numFmtId="10" fontId="18" fillId="10" borderId="68" xfId="0" applyNumberFormat="1" applyFont="1" applyFill="1" applyBorder="1" applyAlignment="1">
      <alignment horizontal="center" vertical="center" shrinkToFit="1"/>
    </xf>
    <xf numFmtId="10" fontId="18" fillId="10" borderId="60" xfId="0" applyNumberFormat="1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2" fontId="14" fillId="0" borderId="16" xfId="0" applyNumberFormat="1" applyFont="1" applyBorder="1" applyAlignment="1">
      <alignment horizontal="center" vertical="top" shrinkToFit="1"/>
    </xf>
    <xf numFmtId="2" fontId="14" fillId="0" borderId="30" xfId="0" applyNumberFormat="1" applyFont="1" applyBorder="1" applyAlignment="1">
      <alignment horizontal="center" vertical="top" shrinkToFit="1"/>
    </xf>
    <xf numFmtId="2" fontId="17" fillId="4" borderId="16" xfId="0" applyNumberFormat="1" applyFont="1" applyFill="1" applyBorder="1" applyAlignment="1">
      <alignment horizontal="center" vertical="top" shrinkToFit="1"/>
    </xf>
    <xf numFmtId="2" fontId="17" fillId="4" borderId="30" xfId="0" applyNumberFormat="1" applyFont="1" applyFill="1" applyBorder="1" applyAlignment="1">
      <alignment horizontal="center" vertical="top" shrinkToFi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7" fillId="0" borderId="15" xfId="0" applyNumberFormat="1" applyFont="1" applyBorder="1" applyAlignment="1">
      <alignment horizontal="left" vertical="center" shrinkToFit="1"/>
    </xf>
    <xf numFmtId="10" fontId="7" fillId="0" borderId="13" xfId="0" applyNumberFormat="1" applyFont="1" applyBorder="1" applyAlignment="1">
      <alignment horizontal="left" vertical="center" shrinkToFit="1"/>
    </xf>
    <xf numFmtId="0" fontId="26" fillId="0" borderId="34" xfId="4" applyBorder="1" applyAlignment="1">
      <alignment vertical="center"/>
    </xf>
    <xf numFmtId="0" fontId="26" fillId="0" borderId="18" xfId="4" applyBorder="1" applyAlignment="1">
      <alignment vertical="center"/>
    </xf>
    <xf numFmtId="0" fontId="26" fillId="0" borderId="35" xfId="4" applyBorder="1" applyAlignment="1">
      <alignment vertical="center"/>
    </xf>
    <xf numFmtId="0" fontId="26" fillId="0" borderId="34" xfId="4" applyBorder="1" applyAlignment="1">
      <alignment horizontal="center"/>
    </xf>
    <xf numFmtId="0" fontId="26" fillId="0" borderId="18" xfId="4" applyBorder="1" applyAlignment="1">
      <alignment horizontal="center"/>
    </xf>
    <xf numFmtId="0" fontId="26" fillId="0" borderId="35" xfId="4" applyBorder="1" applyAlignment="1">
      <alignment horizontal="center"/>
    </xf>
    <xf numFmtId="0" fontId="43" fillId="0" borderId="0" xfId="4" applyFont="1" applyAlignment="1">
      <alignment horizontal="right" vertical="center"/>
    </xf>
    <xf numFmtId="0" fontId="42" fillId="0" borderId="81" xfId="4" applyFont="1" applyBorder="1" applyAlignment="1">
      <alignment horizontal="center" vertical="center"/>
    </xf>
    <xf numFmtId="0" fontId="42" fillId="0" borderId="0" xfId="4" applyFont="1" applyAlignment="1">
      <alignment horizontal="left" vertical="center"/>
    </xf>
    <xf numFmtId="40" fontId="42" fillId="0" borderId="0" xfId="4" applyNumberFormat="1" applyFont="1" applyAlignment="1">
      <alignment horizontal="center" vertical="center"/>
    </xf>
    <xf numFmtId="0" fontId="5" fillId="4" borderId="6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</cellXfs>
  <cellStyles count="5">
    <cellStyle name="Moeda" xfId="1" builtinId="4"/>
    <cellStyle name="Normal" xfId="0" builtinId="0"/>
    <cellStyle name="Normal 2" xfId="3" xr:uid="{E7CEEB1B-9B6B-417D-A4CA-1614C6D3EE65}"/>
    <cellStyle name="Normal 2 2" xfId="4" xr:uid="{0840036E-9D19-43D6-AAA6-BD086A5D799F}"/>
    <cellStyle name="Porcentagem" xfId="2" builtinId="5"/>
  </cellStyles>
  <dxfs count="0"/>
  <tableStyles count="0" defaultTableStyle="TableStyleMedium9" defaultPivotStyle="PivotStyleLight16"/>
  <colors>
    <mruColors>
      <color rgb="FF1C54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216001</xdr:colOff>
      <xdr:row>1</xdr:row>
      <xdr:rowOff>75442</xdr:rowOff>
    </xdr:from>
    <xdr:to>
      <xdr:col>1</xdr:col>
      <xdr:colOff>303609</xdr:colOff>
      <xdr:row>3</xdr:row>
      <xdr:rowOff>73269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1C8DD6-488C-4B44-AFB0-1DBAC7220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01" y="158786"/>
          <a:ext cx="504327" cy="503842"/>
        </a:xfrm>
        <a:prstGeom prst="rect">
          <a:avLst/>
        </a:prstGeom>
      </xdr:spPr>
    </xdr:pic>
    <xdr:clientData/>
  </xdr:twoCellAnchor>
  <xdr:twoCellAnchor editAs="oneCell">
    <xdr:from>
      <xdr:col>2</xdr:col>
      <xdr:colOff>3317738</xdr:colOff>
      <xdr:row>18</xdr:row>
      <xdr:rowOff>106950</xdr:rowOff>
    </xdr:from>
    <xdr:to>
      <xdr:col>7</xdr:col>
      <xdr:colOff>547893</xdr:colOff>
      <xdr:row>21</xdr:row>
      <xdr:rowOff>144022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D8E4BD5-3B7E-4DC6-8C7F-BE105D2A6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335722" y="3470466"/>
          <a:ext cx="2314124" cy="5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779861</xdr:colOff>
      <xdr:row>47</xdr:row>
      <xdr:rowOff>125016</xdr:rowOff>
    </xdr:from>
    <xdr:to>
      <xdr:col>13</xdr:col>
      <xdr:colOff>528707</xdr:colOff>
      <xdr:row>52</xdr:row>
      <xdr:rowOff>12575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1BD78E8-9A93-4C06-AC20-E1AB536E4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2" r="19579"/>
        <a:stretch/>
      </xdr:blipFill>
      <xdr:spPr>
        <a:xfrm rot="5400000">
          <a:off x="10355409" y="8152859"/>
          <a:ext cx="421658" cy="1106159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1</xdr:row>
      <xdr:rowOff>93755</xdr:rowOff>
    </xdr:from>
    <xdr:to>
      <xdr:col>1</xdr:col>
      <xdr:colOff>329159</xdr:colOff>
      <xdr:row>3</xdr:row>
      <xdr:rowOff>111921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F395D9-0FDD-47C6-9B13-D368F0D3B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9" y="200911"/>
          <a:ext cx="495846" cy="506322"/>
        </a:xfrm>
        <a:prstGeom prst="rect">
          <a:avLst/>
        </a:prstGeom>
      </xdr:spPr>
    </xdr:pic>
    <xdr:clientData/>
  </xdr:twoCellAnchor>
  <xdr:twoCellAnchor editAs="oneCell">
    <xdr:from>
      <xdr:col>3</xdr:col>
      <xdr:colOff>231591</xdr:colOff>
      <xdr:row>50</xdr:row>
      <xdr:rowOff>75775</xdr:rowOff>
    </xdr:from>
    <xdr:to>
      <xdr:col>7</xdr:col>
      <xdr:colOff>733152</xdr:colOff>
      <xdr:row>55</xdr:row>
      <xdr:rowOff>99212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7170856-8BAB-45CB-ADDF-D058292CE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779779" y="7082603"/>
          <a:ext cx="2477998" cy="559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219650</xdr:colOff>
      <xdr:row>1</xdr:row>
      <xdr:rowOff>67479</xdr:rowOff>
    </xdr:from>
    <xdr:to>
      <xdr:col>1</xdr:col>
      <xdr:colOff>322590</xdr:colOff>
      <xdr:row>3</xdr:row>
      <xdr:rowOff>98535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E16B981-191C-49AD-8133-74E9569B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50" y="106893"/>
          <a:ext cx="490509" cy="517159"/>
        </a:xfrm>
        <a:prstGeom prst="rect">
          <a:avLst/>
        </a:prstGeom>
      </xdr:spPr>
    </xdr:pic>
    <xdr:clientData/>
  </xdr:twoCellAnchor>
  <xdr:twoCellAnchor editAs="oneCell">
    <xdr:from>
      <xdr:col>3</xdr:col>
      <xdr:colOff>26275</xdr:colOff>
      <xdr:row>20</xdr:row>
      <xdr:rowOff>156507</xdr:rowOff>
    </xdr:from>
    <xdr:to>
      <xdr:col>7</xdr:col>
      <xdr:colOff>748861</xdr:colOff>
      <xdr:row>24</xdr:row>
      <xdr:rowOff>105102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540A494-0EDF-4A2D-8CE1-B3EEA6C98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571999" y="3644628"/>
          <a:ext cx="2305707" cy="533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131380</xdr:colOff>
      <xdr:row>1</xdr:row>
      <xdr:rowOff>45982</xdr:rowOff>
    </xdr:from>
    <xdr:to>
      <xdr:col>0</xdr:col>
      <xdr:colOff>642937</xdr:colOff>
      <xdr:row>2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C99FF0-8177-4221-AD01-BAF5C2F56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" y="111466"/>
          <a:ext cx="511557" cy="477893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107157</xdr:colOff>
      <xdr:row>23</xdr:row>
      <xdr:rowOff>107157</xdr:rowOff>
    </xdr:from>
    <xdr:to>
      <xdr:col>5</xdr:col>
      <xdr:colOff>495958</xdr:colOff>
      <xdr:row>26</xdr:row>
      <xdr:rowOff>158187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372D444-D699-49AF-BEE7-7A956F156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65985" y="3494485"/>
          <a:ext cx="2305707" cy="533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204651</xdr:colOff>
      <xdr:row>1</xdr:row>
      <xdr:rowOff>53310</xdr:rowOff>
    </xdr:from>
    <xdr:to>
      <xdr:col>0</xdr:col>
      <xdr:colOff>608135</xdr:colOff>
      <xdr:row>2</xdr:row>
      <xdr:rowOff>80596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76F2CB-23E5-4EB9-AC82-43463FAB3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51" y="119252"/>
          <a:ext cx="403484" cy="364325"/>
        </a:xfrm>
        <a:prstGeom prst="rect">
          <a:avLst/>
        </a:prstGeom>
      </xdr:spPr>
    </xdr:pic>
    <xdr:clientData/>
  </xdr:twoCellAnchor>
  <xdr:twoCellAnchor editAs="oneCell">
    <xdr:from>
      <xdr:col>2</xdr:col>
      <xdr:colOff>120294</xdr:colOff>
      <xdr:row>28</xdr:row>
      <xdr:rowOff>8623</xdr:rowOff>
    </xdr:from>
    <xdr:to>
      <xdr:col>5</xdr:col>
      <xdr:colOff>514350</xdr:colOff>
      <xdr:row>31</xdr:row>
      <xdr:rowOff>59652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27F903-A2BC-4D81-BA20-D2EBAF84D5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82694" y="4799698"/>
          <a:ext cx="2308581" cy="536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197324</xdr:colOff>
      <xdr:row>1</xdr:row>
      <xdr:rowOff>54069</xdr:rowOff>
    </xdr:from>
    <xdr:to>
      <xdr:col>0</xdr:col>
      <xdr:colOff>600808</xdr:colOff>
      <xdr:row>2</xdr:row>
      <xdr:rowOff>111672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9E6259-4D5E-4659-8D7A-99A94FF0E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24" y="119759"/>
          <a:ext cx="403484" cy="3926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120294</xdr:colOff>
      <xdr:row>29</xdr:row>
      <xdr:rowOff>8623</xdr:rowOff>
    </xdr:from>
    <xdr:to>
      <xdr:col>5</xdr:col>
      <xdr:colOff>514350</xdr:colOff>
      <xdr:row>32</xdr:row>
      <xdr:rowOff>59652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7BF8149-BB2F-492D-924D-0E2C97C36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82694" y="5294998"/>
          <a:ext cx="2308581" cy="536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204651</xdr:colOff>
      <xdr:row>1</xdr:row>
      <xdr:rowOff>53310</xdr:rowOff>
    </xdr:from>
    <xdr:to>
      <xdr:col>0</xdr:col>
      <xdr:colOff>608135</xdr:colOff>
      <xdr:row>2</xdr:row>
      <xdr:rowOff>14654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15426D-B10C-4AD2-8CEC-EADA64DDE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51" y="119252"/>
          <a:ext cx="403484" cy="393633"/>
        </a:xfrm>
        <a:prstGeom prst="rect">
          <a:avLst/>
        </a:prstGeom>
      </xdr:spPr>
    </xdr:pic>
    <xdr:clientData/>
  </xdr:twoCellAnchor>
  <xdr:twoCellAnchor editAs="oneCell">
    <xdr:from>
      <xdr:col>2</xdr:col>
      <xdr:colOff>120294</xdr:colOff>
      <xdr:row>34</xdr:row>
      <xdr:rowOff>8623</xdr:rowOff>
    </xdr:from>
    <xdr:to>
      <xdr:col>5</xdr:col>
      <xdr:colOff>514350</xdr:colOff>
      <xdr:row>37</xdr:row>
      <xdr:rowOff>59652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3BD422C-9CF6-488D-9CDD-6CDD00C2D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82694" y="4799698"/>
          <a:ext cx="2308581" cy="536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175342</xdr:colOff>
      <xdr:row>1</xdr:row>
      <xdr:rowOff>89945</xdr:rowOff>
    </xdr:from>
    <xdr:to>
      <xdr:col>0</xdr:col>
      <xdr:colOff>622787</xdr:colOff>
      <xdr:row>2</xdr:row>
      <xdr:rowOff>100705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603F6C3-2B57-467B-AAD4-CF519822E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42" y="155887"/>
          <a:ext cx="447445" cy="428395"/>
        </a:xfrm>
        <a:prstGeom prst="rect">
          <a:avLst/>
        </a:prstGeom>
      </xdr:spPr>
    </xdr:pic>
    <xdr:clientData/>
  </xdr:twoCellAnchor>
  <xdr:twoCellAnchor editAs="oneCell">
    <xdr:from>
      <xdr:col>2</xdr:col>
      <xdr:colOff>120294</xdr:colOff>
      <xdr:row>25</xdr:row>
      <xdr:rowOff>8623</xdr:rowOff>
    </xdr:from>
    <xdr:to>
      <xdr:col>5</xdr:col>
      <xdr:colOff>514350</xdr:colOff>
      <xdr:row>28</xdr:row>
      <xdr:rowOff>59652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90541B0-F1AB-41EC-B10E-4C21DBBBB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82694" y="5675998"/>
          <a:ext cx="2308581" cy="536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85099</xdr:colOff>
      <xdr:row>42</xdr:row>
      <xdr:rowOff>130555</xdr:rowOff>
    </xdr:from>
    <xdr:to>
      <xdr:col>7</xdr:col>
      <xdr:colOff>283078</xdr:colOff>
      <xdr:row>46</xdr:row>
      <xdr:rowOff>5718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7E0D2B9-C8FC-4BD1-AE88-ABCD3D57FF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85599" y="6160613"/>
          <a:ext cx="2308133" cy="519932"/>
        </a:xfrm>
        <a:prstGeom prst="rect">
          <a:avLst/>
        </a:prstGeom>
      </xdr:spPr>
    </xdr:pic>
    <xdr:clientData/>
  </xdr:twoCellAnchor>
  <xdr:twoCellAnchor editAs="oneCell">
    <xdr:from>
      <xdr:col>0</xdr:col>
      <xdr:colOff>170636</xdr:colOff>
      <xdr:row>1</xdr:row>
      <xdr:rowOff>95249</xdr:rowOff>
    </xdr:from>
    <xdr:to>
      <xdr:col>1</xdr:col>
      <xdr:colOff>255253</xdr:colOff>
      <xdr:row>3</xdr:row>
      <xdr:rowOff>85726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5F2347D-E36B-4D82-A0B1-1850427BC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36" y="190499"/>
          <a:ext cx="551342" cy="528272"/>
        </a:xfrm>
        <a:prstGeom prst="rect">
          <a:avLst/>
        </a:prstGeom>
      </xdr:spPr>
    </xdr:pic>
    <xdr:clientData/>
  </xdr:twoCellAnchor>
  <xdr:twoCellAnchor>
    <xdr:from>
      <xdr:col>1</xdr:col>
      <xdr:colOff>116315</xdr:colOff>
      <xdr:row>30</xdr:row>
      <xdr:rowOff>118783</xdr:rowOff>
    </xdr:from>
    <xdr:to>
      <xdr:col>6</xdr:col>
      <xdr:colOff>786090</xdr:colOff>
      <xdr:row>33</xdr:row>
      <xdr:rowOff>52879</xdr:rowOff>
    </xdr:to>
    <xdr:sp macro="" textlink="">
      <xdr:nvSpPr>
        <xdr:cNvPr id="13" name="Retângulo de cantos arredondados 1">
          <a:extLst>
            <a:ext uri="{FF2B5EF4-FFF2-40B4-BE49-F238E27FC236}">
              <a16:creationId xmlns:a16="http://schemas.microsoft.com/office/drawing/2014/main" id="{03038DFA-EE88-4D0F-8D8D-9AA0F240A4A7}"/>
            </a:ext>
          </a:extLst>
        </xdr:cNvPr>
        <xdr:cNvSpPr/>
      </xdr:nvSpPr>
      <xdr:spPr>
        <a:xfrm>
          <a:off x="583040" y="5538508"/>
          <a:ext cx="5518000" cy="41987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5.NSH\2022\15.1%20-%20Obras%20em%20Contrato%202022\2022.xx-%20Reforma%20CRAS%20%20e%20Secretaria%20de%20Assist&#234;ncia%20Social\1.0%20Projeto%20e%20Estudo%20Inicial\PLANILHA%20OR&#199;AMENT&#193;RIA%20REFORMA%20CRAS%20R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ORÇAMENTO"/>
      <sheetName val="PLANILHA ORÇAMENTÁRIA "/>
      <sheetName val="CRONOGRAMA "/>
      <sheetName val="BDI"/>
      <sheetName val="COMPOSIÇÃO I"/>
      <sheetName val="COMPOSIÇÃO II"/>
      <sheetName val="COMPOSIÇÁO III"/>
      <sheetName val="COMPOSIÇÃO IV"/>
    </sheetNames>
    <sheetDataSet>
      <sheetData sheetId="0" refreshError="1"/>
      <sheetData sheetId="1" refreshError="1"/>
      <sheetData sheetId="2" refreshError="1"/>
      <sheetData sheetId="3" refreshError="1">
        <row r="4">
          <cell r="E4">
            <v>0.23535496426352442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68B1-0CC5-4116-9CE6-D48813ACDB48}">
  <sheetPr>
    <tabColor rgb="FF92D050"/>
    <pageSetUpPr fitToPage="1"/>
  </sheetPr>
  <dimension ref="A1:K26"/>
  <sheetViews>
    <sheetView tabSelected="1" zoomScale="160" zoomScaleNormal="160" workbookViewId="0">
      <selection activeCell="B13" sqref="B13:E13"/>
    </sheetView>
  </sheetViews>
  <sheetFormatPr defaultRowHeight="12.75" x14ac:dyDescent="0.2"/>
  <cols>
    <col min="1" max="1" width="7.33203125" customWidth="1"/>
    <col min="2" max="2" width="10.5" customWidth="1"/>
    <col min="3" max="3" width="58.83203125" customWidth="1"/>
    <col min="4" max="4" width="6.83203125" customWidth="1"/>
    <col min="5" max="5" width="7.1640625" customWidth="1"/>
    <col min="6" max="6" width="7.5" customWidth="1"/>
    <col min="7" max="7" width="8.5" customWidth="1"/>
    <col min="8" max="8" width="10.5" customWidth="1"/>
    <col min="10" max="10" width="11.1640625" bestFit="1" customWidth="1"/>
    <col min="11" max="11" width="13" bestFit="1" customWidth="1"/>
  </cols>
  <sheetData>
    <row r="1" spans="1:11" ht="6.75" customHeight="1" thickBot="1" x14ac:dyDescent="0.25">
      <c r="A1" s="232"/>
      <c r="B1" s="233"/>
      <c r="C1" s="233"/>
      <c r="D1" s="233"/>
      <c r="E1" s="233"/>
      <c r="F1" s="233"/>
      <c r="G1" s="233"/>
      <c r="H1" s="234"/>
    </row>
    <row r="2" spans="1:11" ht="26.25" customHeight="1" x14ac:dyDescent="0.2">
      <c r="A2" s="235"/>
      <c r="B2" s="236"/>
      <c r="C2" s="237" t="s">
        <v>66</v>
      </c>
      <c r="D2" s="240" t="s">
        <v>197</v>
      </c>
      <c r="E2" s="241"/>
      <c r="F2" s="242"/>
      <c r="G2" s="243"/>
      <c r="H2" s="244"/>
    </row>
    <row r="3" spans="1:11" ht="13.5" customHeight="1" x14ac:dyDescent="0.2">
      <c r="A3" s="235"/>
      <c r="B3" s="236"/>
      <c r="C3" s="238"/>
      <c r="D3" s="245" t="s">
        <v>1</v>
      </c>
      <c r="E3" s="246"/>
      <c r="F3" s="247"/>
      <c r="G3" s="243"/>
      <c r="H3" s="244"/>
    </row>
    <row r="4" spans="1:11" ht="17.25" customHeight="1" thickBot="1" x14ac:dyDescent="0.25">
      <c r="A4" s="235"/>
      <c r="B4" s="236"/>
      <c r="C4" s="239"/>
      <c r="D4" s="125" t="s">
        <v>70</v>
      </c>
      <c r="E4" s="248">
        <f>BDI!E4</f>
        <v>0.23535496426352442</v>
      </c>
      <c r="F4" s="249"/>
      <c r="G4" s="243"/>
      <c r="H4" s="244"/>
    </row>
    <row r="5" spans="1:11" ht="10.35" customHeight="1" thickBot="1" x14ac:dyDescent="0.25">
      <c r="A5" s="212" t="s">
        <v>61</v>
      </c>
      <c r="B5" s="213"/>
      <c r="C5" s="213"/>
      <c r="D5" s="213"/>
      <c r="E5" s="213"/>
      <c r="F5" s="213"/>
      <c r="G5" s="213"/>
      <c r="H5" s="214"/>
    </row>
    <row r="6" spans="1:11" x14ac:dyDescent="0.2">
      <c r="A6" s="9" t="s">
        <v>3</v>
      </c>
      <c r="B6" s="215" t="s">
        <v>227</v>
      </c>
      <c r="C6" s="215"/>
      <c r="D6" s="215"/>
      <c r="E6" s="215"/>
      <c r="F6" s="215"/>
      <c r="G6" s="215"/>
      <c r="H6" s="15" t="s">
        <v>67</v>
      </c>
    </row>
    <row r="7" spans="1:11" ht="13.5" thickBot="1" x14ac:dyDescent="0.25">
      <c r="A7" s="9" t="s">
        <v>57</v>
      </c>
      <c r="B7" s="216" t="s">
        <v>228</v>
      </c>
      <c r="C7" s="216"/>
      <c r="D7" s="216"/>
      <c r="E7" s="216"/>
      <c r="F7" s="216"/>
      <c r="G7" s="216"/>
      <c r="H7" s="20">
        <f ca="1">TODAY()</f>
        <v>45098</v>
      </c>
    </row>
    <row r="8" spans="1:11" ht="15.75" customHeight="1" thickBot="1" x14ac:dyDescent="0.25">
      <c r="A8" s="217" t="s">
        <v>68</v>
      </c>
      <c r="B8" s="218"/>
      <c r="C8" s="218"/>
      <c r="D8" s="218"/>
      <c r="E8" s="218"/>
      <c r="F8" s="218"/>
      <c r="G8" s="218"/>
      <c r="H8" s="219"/>
    </row>
    <row r="9" spans="1:11" ht="12.75" customHeight="1" x14ac:dyDescent="0.15">
      <c r="A9" s="131">
        <v>1</v>
      </c>
      <c r="B9" s="225" t="str">
        <f>'PLANILHA ORÇAMENTÁRIA'!B10</f>
        <v xml:space="preserve">ADMINISTRAÇÃO LOCAL </v>
      </c>
      <c r="C9" s="226"/>
      <c r="D9" s="226"/>
      <c r="E9" s="227"/>
      <c r="F9" s="47">
        <f>G9/G14</f>
        <v>0.12197384899367504</v>
      </c>
      <c r="G9" s="228">
        <f>'PLANILHA ORÇAMENTÁRIA'!H10</f>
        <v>6628.5194246495066</v>
      </c>
      <c r="H9" s="229"/>
    </row>
    <row r="10" spans="1:11" x14ac:dyDescent="0.15">
      <c r="A10" s="130">
        <v>2</v>
      </c>
      <c r="B10" s="225" t="str">
        <f>'PLANILHA ORÇAMENTÁRIA'!B12</f>
        <v>SERVIÇOS PRELIMINARS</v>
      </c>
      <c r="C10" s="226"/>
      <c r="D10" s="226"/>
      <c r="E10" s="227"/>
      <c r="F10" s="48">
        <f>G10/G14</f>
        <v>3.8544608517502847E-2</v>
      </c>
      <c r="G10" s="230">
        <f>'PLANILHA ORÇAMENTÁRIA'!H12</f>
        <v>2094.6595387592229</v>
      </c>
      <c r="H10" s="231"/>
    </row>
    <row r="11" spans="1:11" ht="12.75" customHeight="1" x14ac:dyDescent="0.15">
      <c r="A11" s="131">
        <v>3</v>
      </c>
      <c r="B11" s="225" t="str">
        <f>'PLANILHA ORÇAMENTÁRIA'!B15</f>
        <v xml:space="preserve">ESTRUTURA EM CONCRETO ARMADO E FUNDAÇÕES </v>
      </c>
      <c r="C11" s="226"/>
      <c r="D11" s="226"/>
      <c r="E11" s="227"/>
      <c r="F11" s="48">
        <f>G11/G14</f>
        <v>0.14831208119580708</v>
      </c>
      <c r="G11" s="230">
        <f>'PLANILHA ORÇAMENTÁRIA'!H15</f>
        <v>8059.8383934541589</v>
      </c>
      <c r="H11" s="231"/>
    </row>
    <row r="12" spans="1:11" ht="12.75" customHeight="1" x14ac:dyDescent="0.15">
      <c r="A12" s="131">
        <v>4</v>
      </c>
      <c r="B12" s="225" t="str">
        <f>'PLANILHA ORÇAMENTÁRIA'!B26</f>
        <v xml:space="preserve">ESTRUTURA METÁLICA </v>
      </c>
      <c r="C12" s="226"/>
      <c r="D12" s="226"/>
      <c r="E12" s="227"/>
      <c r="F12" s="48">
        <f>G12/G14</f>
        <v>0.4682964776688216</v>
      </c>
      <c r="G12" s="230">
        <f>'PLANILHA ORÇAMENTÁRIA'!H26</f>
        <v>25448.998488878478</v>
      </c>
      <c r="H12" s="231"/>
    </row>
    <row r="13" spans="1:11" ht="12.75" customHeight="1" thickBot="1" x14ac:dyDescent="0.2">
      <c r="A13" s="131">
        <v>5</v>
      </c>
      <c r="B13" s="225" t="str">
        <f>'PLANILHA ORÇAMENTÁRIA'!B29</f>
        <v>COBERTURA</v>
      </c>
      <c r="C13" s="226"/>
      <c r="D13" s="226"/>
      <c r="E13" s="227"/>
      <c r="F13" s="48">
        <f>G13/G14</f>
        <v>0.22287298362419347</v>
      </c>
      <c r="G13" s="230">
        <f>'PLANILHA ORÇAMENTÁRIA'!H29</f>
        <v>12111.75931046633</v>
      </c>
      <c r="H13" s="231"/>
    </row>
    <row r="14" spans="1:11" ht="14.25" customHeight="1" thickBot="1" x14ac:dyDescent="0.25">
      <c r="A14" s="220" t="s">
        <v>0</v>
      </c>
      <c r="B14" s="221"/>
      <c r="C14" s="221"/>
      <c r="D14" s="221"/>
      <c r="E14" s="222"/>
      <c r="F14" s="70">
        <f>SUM(F9:F13)</f>
        <v>1</v>
      </c>
      <c r="G14" s="223">
        <f>SUM(G9:H13)</f>
        <v>54343.775156207696</v>
      </c>
      <c r="H14" s="224"/>
      <c r="J14" s="126"/>
      <c r="K14" s="8"/>
    </row>
    <row r="19" spans="8:8" x14ac:dyDescent="0.2">
      <c r="H19" s="8"/>
    </row>
    <row r="20" spans="8:8" x14ac:dyDescent="0.2">
      <c r="H20" s="8"/>
    </row>
    <row r="21" spans="8:8" x14ac:dyDescent="0.2">
      <c r="H21" s="8"/>
    </row>
    <row r="22" spans="8:8" x14ac:dyDescent="0.2">
      <c r="H22" s="8"/>
    </row>
    <row r="23" spans="8:8" x14ac:dyDescent="0.2">
      <c r="H23" s="8"/>
    </row>
    <row r="24" spans="8:8" x14ac:dyDescent="0.2">
      <c r="H24" s="8"/>
    </row>
    <row r="25" spans="8:8" x14ac:dyDescent="0.2">
      <c r="H25" s="8"/>
    </row>
    <row r="26" spans="8:8" x14ac:dyDescent="0.2">
      <c r="H26" s="8"/>
    </row>
  </sheetData>
  <mergeCells count="23">
    <mergeCell ref="A1:H1"/>
    <mergeCell ref="A2:B4"/>
    <mergeCell ref="C2:C4"/>
    <mergeCell ref="D2:F2"/>
    <mergeCell ref="G2:H4"/>
    <mergeCell ref="D3:F3"/>
    <mergeCell ref="E4:F4"/>
    <mergeCell ref="A5:H5"/>
    <mergeCell ref="B6:G6"/>
    <mergeCell ref="B7:G7"/>
    <mergeCell ref="A8:H8"/>
    <mergeCell ref="A14:E14"/>
    <mergeCell ref="G14:H14"/>
    <mergeCell ref="B9:E9"/>
    <mergeCell ref="G9:H9"/>
    <mergeCell ref="B10:E10"/>
    <mergeCell ref="G10:H10"/>
    <mergeCell ref="B11:E11"/>
    <mergeCell ref="G11:H11"/>
    <mergeCell ref="B12:E12"/>
    <mergeCell ref="G12:H12"/>
    <mergeCell ref="B13:E13"/>
    <mergeCell ref="G13:H13"/>
  </mergeCells>
  <pageMargins left="0.25" right="0.25" top="0.75" bottom="0.75" header="0.3" footer="0.3"/>
  <pageSetup paperSize="9" scale="9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39E0-6153-4AC2-BBB8-1875100C8110}">
  <dimension ref="A5:I36"/>
  <sheetViews>
    <sheetView topLeftCell="A4" zoomScale="130" zoomScaleNormal="130" workbookViewId="0">
      <selection activeCell="G29" sqref="G29"/>
    </sheetView>
  </sheetViews>
  <sheetFormatPr defaultRowHeight="12.75" x14ac:dyDescent="0.2"/>
  <cols>
    <col min="1" max="1" width="17.6640625" bestFit="1" customWidth="1"/>
    <col min="5" max="5" width="14" bestFit="1" customWidth="1"/>
    <col min="6" max="6" width="20.83203125" bestFit="1" customWidth="1"/>
    <col min="7" max="7" width="15.33203125" bestFit="1" customWidth="1"/>
    <col min="8" max="8" width="12.6640625" bestFit="1" customWidth="1"/>
    <col min="9" max="9" width="24.6640625" bestFit="1" customWidth="1"/>
  </cols>
  <sheetData>
    <row r="5" spans="1:9" x14ac:dyDescent="0.2">
      <c r="A5" s="46" t="s">
        <v>155</v>
      </c>
    </row>
    <row r="6" spans="1:9" x14ac:dyDescent="0.2">
      <c r="A6" s="177" t="s">
        <v>174</v>
      </c>
      <c r="B6" s="177" t="s">
        <v>175</v>
      </c>
      <c r="C6" s="177" t="s">
        <v>176</v>
      </c>
      <c r="D6" s="177" t="s">
        <v>177</v>
      </c>
      <c r="E6" s="46" t="s">
        <v>156</v>
      </c>
      <c r="F6" s="46" t="s">
        <v>178</v>
      </c>
      <c r="G6" s="46" t="s">
        <v>179</v>
      </c>
      <c r="H6" s="46" t="s">
        <v>85</v>
      </c>
      <c r="I6" s="46" t="s">
        <v>180</v>
      </c>
    </row>
    <row r="7" spans="1:9" x14ac:dyDescent="0.2">
      <c r="A7">
        <v>6</v>
      </c>
      <c r="B7">
        <v>0.18</v>
      </c>
      <c r="C7">
        <v>0.23</v>
      </c>
      <c r="D7">
        <v>4.7</v>
      </c>
      <c r="E7">
        <f>B7*C7*D7</f>
        <v>0.19458</v>
      </c>
      <c r="F7">
        <f>2*(B7*D7)+2*(C7*D7)</f>
        <v>3.8540000000000001</v>
      </c>
      <c r="G7">
        <f>(((3.1416*((0.6/2)*(0.6/2)))))*1.5</f>
        <v>0.42411599999999999</v>
      </c>
      <c r="H7">
        <f>(((3.1416*((0.6/2)*(0.6/2)))))*0.65</f>
        <v>0.18378359999999999</v>
      </c>
      <c r="I7">
        <f>(((3.1416*((0.6/2)*(0.6/2)))))*0.85</f>
        <v>0.2403324</v>
      </c>
    </row>
    <row r="10" spans="1:9" x14ac:dyDescent="0.2">
      <c r="A10" t="s">
        <v>181</v>
      </c>
      <c r="B10" t="s">
        <v>188</v>
      </c>
      <c r="C10" t="s">
        <v>157</v>
      </c>
      <c r="D10" t="s">
        <v>142</v>
      </c>
      <c r="E10" t="s">
        <v>185</v>
      </c>
      <c r="F10" t="s">
        <v>186</v>
      </c>
      <c r="G10" t="s">
        <v>187</v>
      </c>
    </row>
    <row r="11" spans="1:9" x14ac:dyDescent="0.2">
      <c r="A11" t="s">
        <v>182</v>
      </c>
      <c r="B11">
        <v>6</v>
      </c>
      <c r="C11">
        <v>31</v>
      </c>
      <c r="D11">
        <v>1</v>
      </c>
      <c r="E11">
        <f>D11*C11</f>
        <v>31</v>
      </c>
      <c r="F11">
        <v>0.16</v>
      </c>
      <c r="G11">
        <f>F11*E11</f>
        <v>4.96</v>
      </c>
    </row>
    <row r="12" spans="1:9" x14ac:dyDescent="0.2">
      <c r="A12" t="s">
        <v>183</v>
      </c>
      <c r="B12">
        <v>6</v>
      </c>
      <c r="C12">
        <v>4</v>
      </c>
      <c r="D12">
        <v>4.6500000000000004</v>
      </c>
      <c r="E12">
        <f t="shared" ref="E12:E13" si="0">D12*C12</f>
        <v>18.600000000000001</v>
      </c>
      <c r="F12">
        <v>0.61699999999999999</v>
      </c>
      <c r="G12">
        <f t="shared" ref="G12:G13" si="1">F12*E12</f>
        <v>11.4762</v>
      </c>
    </row>
    <row r="13" spans="1:9" x14ac:dyDescent="0.2">
      <c r="A13" t="s">
        <v>184</v>
      </c>
      <c r="B13">
        <v>6</v>
      </c>
      <c r="C13">
        <v>4</v>
      </c>
      <c r="D13">
        <v>4.6500000000000004</v>
      </c>
      <c r="E13">
        <f t="shared" si="0"/>
        <v>18.600000000000001</v>
      </c>
      <c r="F13">
        <v>0.245</v>
      </c>
      <c r="G13">
        <f t="shared" si="1"/>
        <v>4.5570000000000004</v>
      </c>
    </row>
    <row r="21" spans="1:4" x14ac:dyDescent="0.2">
      <c r="A21" t="s">
        <v>189</v>
      </c>
    </row>
    <row r="24" spans="1:4" x14ac:dyDescent="0.2">
      <c r="A24" t="s">
        <v>190</v>
      </c>
    </row>
    <row r="27" spans="1:4" x14ac:dyDescent="0.2">
      <c r="A27" t="s">
        <v>191</v>
      </c>
      <c r="B27">
        <v>180</v>
      </c>
      <c r="C27">
        <f>17.7/6</f>
        <v>2.9499999999999997</v>
      </c>
      <c r="D27">
        <f>B27*C27</f>
        <v>531</v>
      </c>
    </row>
    <row r="28" spans="1:4" x14ac:dyDescent="0.2">
      <c r="A28" t="s">
        <v>192</v>
      </c>
      <c r="B28">
        <f>82.46+33.7</f>
        <v>116.16</v>
      </c>
      <c r="C28">
        <f>15.5/6</f>
        <v>2.5833333333333335</v>
      </c>
      <c r="D28">
        <f>B28*C28</f>
        <v>300.08</v>
      </c>
    </row>
    <row r="29" spans="1:4" x14ac:dyDescent="0.2">
      <c r="A29" t="s">
        <v>193</v>
      </c>
      <c r="B29">
        <v>48.45</v>
      </c>
      <c r="C29">
        <f>11.3/6</f>
        <v>1.8833333333333335</v>
      </c>
      <c r="D29">
        <f>B29*C29</f>
        <v>91.247500000000016</v>
      </c>
    </row>
    <row r="30" spans="1:4" x14ac:dyDescent="0.2">
      <c r="A30" t="s">
        <v>194</v>
      </c>
      <c r="D30">
        <f>SUM(D27:D29)</f>
        <v>922.32749999999999</v>
      </c>
    </row>
    <row r="33" spans="1:1" x14ac:dyDescent="0.2">
      <c r="A33" s="46" t="s">
        <v>160</v>
      </c>
    </row>
    <row r="34" spans="1:1" x14ac:dyDescent="0.2">
      <c r="A34" t="s">
        <v>158</v>
      </c>
    </row>
    <row r="36" spans="1:1" x14ac:dyDescent="0.2">
      <c r="A36" s="46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3A64-D91B-4EC1-8BAA-58A8309407DE}">
  <sheetPr>
    <tabColor rgb="FF92D050"/>
    <pageSetUpPr fitToPage="1"/>
  </sheetPr>
  <dimension ref="A1:L49"/>
  <sheetViews>
    <sheetView zoomScale="160" zoomScaleNormal="160" workbookViewId="0">
      <selection activeCell="F17" sqref="F17"/>
    </sheetView>
  </sheetViews>
  <sheetFormatPr defaultRowHeight="8.25" x14ac:dyDescent="0.2"/>
  <cols>
    <col min="1" max="1" width="6.83203125" style="132" customWidth="1"/>
    <col min="2" max="2" width="11.33203125" style="132" customWidth="1"/>
    <col min="3" max="3" width="61.33203125" style="132" customWidth="1"/>
    <col min="4" max="4" width="7.33203125" style="10" customWidth="1"/>
    <col min="5" max="5" width="7.83203125" style="132" customWidth="1"/>
    <col min="6" max="6" width="10.83203125" style="189" bestFit="1" customWidth="1"/>
    <col min="7" max="7" width="8.6640625" style="132" customWidth="1"/>
    <col min="8" max="8" width="14.1640625" style="132" bestFit="1" customWidth="1"/>
    <col min="9" max="9" width="9.33203125" style="132"/>
    <col min="10" max="10" width="83.1640625" style="132" bestFit="1" customWidth="1"/>
    <col min="11" max="11" width="9.33203125" style="132"/>
    <col min="12" max="12" width="14.33203125" style="132" bestFit="1" customWidth="1"/>
    <col min="13" max="16384" width="9.33203125" style="132"/>
  </cols>
  <sheetData>
    <row r="1" spans="1:10" ht="3" customHeight="1" thickBot="1" x14ac:dyDescent="0.2">
      <c r="A1" s="250"/>
      <c r="B1" s="251"/>
      <c r="C1" s="251"/>
      <c r="D1" s="251"/>
      <c r="E1" s="251"/>
      <c r="F1" s="251"/>
      <c r="G1" s="251"/>
      <c r="H1" s="252"/>
      <c r="I1" s="10"/>
    </row>
    <row r="2" spans="1:10" ht="24.95" customHeight="1" x14ac:dyDescent="0.2">
      <c r="A2" s="253"/>
      <c r="B2" s="254"/>
      <c r="C2" s="264" t="s">
        <v>66</v>
      </c>
      <c r="D2" s="240" t="s">
        <v>197</v>
      </c>
      <c r="E2" s="241"/>
      <c r="F2" s="242"/>
      <c r="G2" s="255"/>
      <c r="H2" s="256"/>
      <c r="I2" s="10"/>
    </row>
    <row r="3" spans="1:10" ht="13.7" customHeight="1" x14ac:dyDescent="0.2">
      <c r="A3" s="253"/>
      <c r="B3" s="254"/>
      <c r="C3" s="265"/>
      <c r="D3" s="257" t="s">
        <v>145</v>
      </c>
      <c r="E3" s="258"/>
      <c r="F3" s="259"/>
      <c r="G3" s="255"/>
      <c r="H3" s="256"/>
      <c r="I3" s="10"/>
    </row>
    <row r="4" spans="1:10" ht="17.25" customHeight="1" thickBot="1" x14ac:dyDescent="0.25">
      <c r="A4" s="253"/>
      <c r="B4" s="254"/>
      <c r="C4" s="266"/>
      <c r="D4" s="182" t="s">
        <v>70</v>
      </c>
      <c r="E4" s="260">
        <f>BDI!E4</f>
        <v>0.23535496426352442</v>
      </c>
      <c r="F4" s="261"/>
      <c r="G4" s="255"/>
      <c r="H4" s="256"/>
      <c r="I4" s="10"/>
    </row>
    <row r="5" spans="1:10" ht="9.75" customHeight="1" thickBot="1" x14ac:dyDescent="0.25">
      <c r="A5" s="267" t="s">
        <v>61</v>
      </c>
      <c r="B5" s="268"/>
      <c r="C5" s="268"/>
      <c r="D5" s="268"/>
      <c r="E5" s="268"/>
      <c r="F5" s="268"/>
      <c r="G5" s="268"/>
      <c r="H5" s="269"/>
      <c r="I5" s="10"/>
    </row>
    <row r="6" spans="1:10" ht="11.25" x14ac:dyDescent="0.2">
      <c r="A6" s="133" t="s">
        <v>56</v>
      </c>
      <c r="B6" s="262" t="s">
        <v>229</v>
      </c>
      <c r="C6" s="262"/>
      <c r="D6" s="262"/>
      <c r="E6" s="262"/>
      <c r="F6" s="262"/>
      <c r="G6" s="262"/>
      <c r="H6" s="134" t="s">
        <v>67</v>
      </c>
      <c r="I6" s="10"/>
    </row>
    <row r="7" spans="1:10" ht="9" thickBot="1" x14ac:dyDescent="0.25">
      <c r="A7" s="133" t="s">
        <v>57</v>
      </c>
      <c r="B7" s="263" t="s">
        <v>230</v>
      </c>
      <c r="C7" s="263"/>
      <c r="D7" s="263"/>
      <c r="E7" s="263"/>
      <c r="F7" s="263"/>
      <c r="G7" s="263"/>
      <c r="H7" s="135">
        <f ca="1">TODAY()</f>
        <v>45098</v>
      </c>
      <c r="I7" s="10"/>
    </row>
    <row r="8" spans="1:10" ht="9" thickBot="1" x14ac:dyDescent="0.25">
      <c r="A8" s="270" t="s">
        <v>65</v>
      </c>
      <c r="B8" s="271"/>
      <c r="C8" s="271"/>
      <c r="D8" s="271"/>
      <c r="E8" s="271"/>
      <c r="F8" s="271"/>
      <c r="G8" s="271"/>
      <c r="H8" s="272"/>
      <c r="I8" s="10"/>
    </row>
    <row r="9" spans="1:10" ht="22.5" customHeight="1" thickBot="1" x14ac:dyDescent="0.25">
      <c r="A9" s="54" t="s">
        <v>146</v>
      </c>
      <c r="B9" s="55" t="s">
        <v>147</v>
      </c>
      <c r="C9" s="55" t="s">
        <v>148</v>
      </c>
      <c r="D9" s="55" t="s">
        <v>149</v>
      </c>
      <c r="E9" s="55" t="s">
        <v>150</v>
      </c>
      <c r="F9" s="185" t="s">
        <v>151</v>
      </c>
      <c r="G9" s="55" t="s">
        <v>152</v>
      </c>
      <c r="H9" s="56" t="s">
        <v>153</v>
      </c>
      <c r="I9" s="10"/>
      <c r="J9" s="190" t="s">
        <v>173</v>
      </c>
    </row>
    <row r="10" spans="1:10" ht="9" thickBot="1" x14ac:dyDescent="0.25">
      <c r="A10" s="136" t="s">
        <v>58</v>
      </c>
      <c r="B10" s="276" t="s">
        <v>224</v>
      </c>
      <c r="C10" s="276"/>
      <c r="D10" s="180"/>
      <c r="E10" s="137"/>
      <c r="F10" s="186"/>
      <c r="G10" s="137"/>
      <c r="H10" s="138">
        <f>H11</f>
        <v>6628.5194246495066</v>
      </c>
      <c r="I10" s="10"/>
      <c r="J10" s="191"/>
    </row>
    <row r="11" spans="1:10" ht="9" thickBot="1" x14ac:dyDescent="0.25">
      <c r="A11" s="200" t="s">
        <v>154</v>
      </c>
      <c r="B11" s="201" t="s">
        <v>79</v>
      </c>
      <c r="C11" s="202" t="s">
        <v>59</v>
      </c>
      <c r="D11" s="203" t="s">
        <v>51</v>
      </c>
      <c r="E11" s="204">
        <v>1</v>
      </c>
      <c r="F11" s="205">
        <f>'COMPOSIÇÃO I '!F13</f>
        <v>5365.6799999999994</v>
      </c>
      <c r="G11" s="153">
        <f>F11+(F11*E4)</f>
        <v>6628.5194246495066</v>
      </c>
      <c r="H11" s="160">
        <f>E11*G11</f>
        <v>6628.5194246495066</v>
      </c>
      <c r="I11" s="10"/>
      <c r="J11" s="191"/>
    </row>
    <row r="12" spans="1:10" ht="9" thickBot="1" x14ac:dyDescent="0.25">
      <c r="A12" s="136" t="s">
        <v>54</v>
      </c>
      <c r="B12" s="276" t="s">
        <v>231</v>
      </c>
      <c r="C12" s="276"/>
      <c r="D12" s="180"/>
      <c r="E12" s="137"/>
      <c r="F12" s="186"/>
      <c r="G12" s="137"/>
      <c r="H12" s="138">
        <f>SUM(H13:H14)</f>
        <v>2094.6595387592229</v>
      </c>
      <c r="I12" s="10"/>
      <c r="J12" s="191"/>
    </row>
    <row r="13" spans="1:10" x14ac:dyDescent="0.2">
      <c r="A13" s="144"/>
      <c r="B13" s="145"/>
      <c r="C13" s="146" t="s">
        <v>223</v>
      </c>
      <c r="D13" s="147"/>
      <c r="E13" s="148"/>
      <c r="F13" s="149"/>
      <c r="G13" s="149"/>
      <c r="H13" s="165"/>
      <c r="I13" s="10"/>
      <c r="J13" s="191"/>
    </row>
    <row r="14" spans="1:10" ht="12.75" customHeight="1" thickBot="1" x14ac:dyDescent="0.25">
      <c r="A14" s="206" t="s">
        <v>225</v>
      </c>
      <c r="B14" s="207" t="s">
        <v>73</v>
      </c>
      <c r="C14" s="158" t="s">
        <v>105</v>
      </c>
      <c r="D14" s="159" t="s">
        <v>52</v>
      </c>
      <c r="E14" s="162">
        <f>1*(1.5*3)</f>
        <v>4.5</v>
      </c>
      <c r="F14" s="205">
        <f>'COMPOSIÇÃO II'!F18</f>
        <v>376.79849999999993</v>
      </c>
      <c r="G14" s="153">
        <f>F14+(F14*E4)</f>
        <v>465.47989750204954</v>
      </c>
      <c r="H14" s="208">
        <f>E14*G14</f>
        <v>2094.6595387592229</v>
      </c>
      <c r="I14" s="10"/>
      <c r="J14" s="191"/>
    </row>
    <row r="15" spans="1:10" ht="9" thickBot="1" x14ac:dyDescent="0.25">
      <c r="A15" s="136" t="s">
        <v>55</v>
      </c>
      <c r="B15" s="276" t="s">
        <v>232</v>
      </c>
      <c r="C15" s="276"/>
      <c r="D15" s="180"/>
      <c r="E15" s="137"/>
      <c r="F15" s="186"/>
      <c r="G15" s="137"/>
      <c r="H15" s="138">
        <f>SUM(H16:H25)</f>
        <v>8059.8383934541589</v>
      </c>
      <c r="I15" s="10"/>
      <c r="J15" s="191"/>
    </row>
    <row r="16" spans="1:10" x14ac:dyDescent="0.2">
      <c r="A16" s="144"/>
      <c r="B16" s="145"/>
      <c r="C16" s="146" t="s">
        <v>141</v>
      </c>
      <c r="D16" s="147"/>
      <c r="E16" s="148"/>
      <c r="F16" s="149"/>
      <c r="G16" s="149"/>
      <c r="H16" s="165"/>
      <c r="I16" s="10"/>
      <c r="J16" s="191"/>
    </row>
    <row r="17" spans="1:12" ht="16.5" x14ac:dyDescent="0.2">
      <c r="A17" s="150" t="s">
        <v>214</v>
      </c>
      <c r="B17" s="139">
        <v>96522</v>
      </c>
      <c r="C17" s="166" t="s">
        <v>161</v>
      </c>
      <c r="D17" s="143" t="s">
        <v>84</v>
      </c>
      <c r="E17" s="152">
        <f>'Mat. Parque de Exposições '!G7*'Mat. Parque de Exposições '!A7</f>
        <v>2.5446960000000001</v>
      </c>
      <c r="F17" s="179">
        <v>137.43</v>
      </c>
      <c r="G17" s="153">
        <f>F17+(F17*E4)</f>
        <v>169.77483273873617</v>
      </c>
      <c r="H17" s="154">
        <f t="shared" ref="H17" si="0">G17*E17</f>
        <v>432.025337770931</v>
      </c>
      <c r="I17" s="183"/>
      <c r="J17" s="199" t="s">
        <v>201</v>
      </c>
    </row>
    <row r="18" spans="1:12" ht="16.5" x14ac:dyDescent="0.2">
      <c r="A18" s="150" t="s">
        <v>215</v>
      </c>
      <c r="B18" s="151">
        <v>94965</v>
      </c>
      <c r="C18" s="142" t="s">
        <v>162</v>
      </c>
      <c r="D18" s="143" t="s">
        <v>84</v>
      </c>
      <c r="E18" s="152">
        <f>'Mat. Parque de Exposições '!I7*'Mat. Parque de Exposições '!A7</f>
        <v>1.4419944</v>
      </c>
      <c r="F18" s="155">
        <v>552.16</v>
      </c>
      <c r="G18" s="153">
        <f>F18+(F18*E4)</f>
        <v>682.11359706774761</v>
      </c>
      <c r="H18" s="140">
        <f t="shared" ref="H18" si="1">E18*G18</f>
        <v>983.60398713554844</v>
      </c>
      <c r="I18" s="183"/>
      <c r="J18" s="199" t="s">
        <v>201</v>
      </c>
    </row>
    <row r="19" spans="1:12" x14ac:dyDescent="0.2">
      <c r="A19" s="150" t="s">
        <v>212</v>
      </c>
      <c r="B19" s="151">
        <v>103670</v>
      </c>
      <c r="C19" s="142" t="s">
        <v>163</v>
      </c>
      <c r="D19" s="143" t="s">
        <v>84</v>
      </c>
      <c r="E19" s="152">
        <f>E18</f>
        <v>1.4419944</v>
      </c>
      <c r="F19" s="179">
        <v>263.23</v>
      </c>
      <c r="G19" s="153">
        <f>F19+(F19*E4)</f>
        <v>325.18248724308756</v>
      </c>
      <c r="H19" s="140">
        <f t="shared" ref="H19:H25" si="2">E19*G19</f>
        <v>468.91132558260369</v>
      </c>
      <c r="I19" s="183"/>
      <c r="J19" s="199" t="s">
        <v>201</v>
      </c>
    </row>
    <row r="20" spans="1:12" ht="24.75" x14ac:dyDescent="0.2">
      <c r="A20" s="150" t="s">
        <v>216</v>
      </c>
      <c r="B20" s="167">
        <v>92419</v>
      </c>
      <c r="C20" s="166" t="s">
        <v>198</v>
      </c>
      <c r="D20" s="143" t="s">
        <v>52</v>
      </c>
      <c r="E20" s="152">
        <f>'Mat. Parque de Exposições '!F7*'Mat. Parque de Exposições '!A7</f>
        <v>23.124000000000002</v>
      </c>
      <c r="F20" s="179">
        <v>97.31</v>
      </c>
      <c r="G20" s="153">
        <f>F20+(F20*E4)</f>
        <v>120.21239157248357</v>
      </c>
      <c r="H20" s="140">
        <f t="shared" si="2"/>
        <v>2779.7913427221101</v>
      </c>
      <c r="I20" s="183"/>
      <c r="J20" s="199" t="s">
        <v>200</v>
      </c>
    </row>
    <row r="21" spans="1:12" ht="16.5" x14ac:dyDescent="0.2">
      <c r="A21" s="150" t="s">
        <v>217</v>
      </c>
      <c r="B21" s="151">
        <v>92759</v>
      </c>
      <c r="C21" s="142" t="s">
        <v>165</v>
      </c>
      <c r="D21" s="143" t="s">
        <v>143</v>
      </c>
      <c r="E21" s="152">
        <f>'Mat. Parque de Exposições '!G11*'Mat. Parque de Exposições '!B11</f>
        <v>29.759999999999998</v>
      </c>
      <c r="F21" s="179">
        <v>15.47</v>
      </c>
      <c r="G21" s="153">
        <f>F21+(F21*E4)</f>
        <v>19.110941297156725</v>
      </c>
      <c r="H21" s="140">
        <f t="shared" si="2"/>
        <v>568.74161300338403</v>
      </c>
      <c r="I21" s="183"/>
      <c r="J21" s="199" t="s">
        <v>200</v>
      </c>
    </row>
    <row r="22" spans="1:12" ht="16.5" x14ac:dyDescent="0.2">
      <c r="A22" s="150" t="s">
        <v>218</v>
      </c>
      <c r="B22" s="151">
        <v>92760</v>
      </c>
      <c r="C22" s="142" t="s">
        <v>195</v>
      </c>
      <c r="D22" s="143" t="s">
        <v>143</v>
      </c>
      <c r="E22" s="152">
        <f>'Mat. Parque de Exposições '!G13*'Mat. Parque de Exposições '!B13</f>
        <v>27.342000000000002</v>
      </c>
      <c r="F22" s="179">
        <v>15.05</v>
      </c>
      <c r="G22" s="153">
        <f>F22+(F22*E4)</f>
        <v>18.592092212166044</v>
      </c>
      <c r="H22" s="140">
        <f t="shared" si="2"/>
        <v>508.34498526504399</v>
      </c>
      <c r="I22" s="183"/>
      <c r="J22" s="199" t="s">
        <v>200</v>
      </c>
    </row>
    <row r="23" spans="1:12" ht="16.5" x14ac:dyDescent="0.2">
      <c r="A23" s="150" t="s">
        <v>219</v>
      </c>
      <c r="B23" s="151">
        <v>92762</v>
      </c>
      <c r="C23" s="142" t="s">
        <v>164</v>
      </c>
      <c r="D23" s="143" t="s">
        <v>143</v>
      </c>
      <c r="E23" s="152">
        <f>'Mat. Parque de Exposições '!G12*'Mat. Parque de Exposições '!B12</f>
        <v>68.857200000000006</v>
      </c>
      <c r="F23" s="179">
        <v>13.09</v>
      </c>
      <c r="G23" s="153">
        <f>F23+(F23*E4)</f>
        <v>16.170796482209536</v>
      </c>
      <c r="H23" s="140">
        <f t="shared" si="2"/>
        <v>1113.4757675347985</v>
      </c>
      <c r="I23" s="183"/>
      <c r="J23" s="199" t="s">
        <v>200</v>
      </c>
    </row>
    <row r="24" spans="1:12" ht="16.5" x14ac:dyDescent="0.2">
      <c r="A24" s="150" t="s">
        <v>220</v>
      </c>
      <c r="B24" s="151">
        <v>94966</v>
      </c>
      <c r="C24" s="142" t="s">
        <v>167</v>
      </c>
      <c r="D24" s="143" t="s">
        <v>84</v>
      </c>
      <c r="E24" s="152">
        <f>'Mat. Parque de Exposições '!E7*'Mat. Parque de Exposições '!A7</f>
        <v>1.1674800000000001</v>
      </c>
      <c r="F24" s="179">
        <v>572.23</v>
      </c>
      <c r="G24" s="153">
        <f>F24+(F24*E4)</f>
        <v>706.90717120051659</v>
      </c>
      <c r="H24" s="140">
        <f t="shared" si="2"/>
        <v>825.2999842331792</v>
      </c>
      <c r="I24" s="183"/>
      <c r="J24" s="199" t="s">
        <v>200</v>
      </c>
    </row>
    <row r="25" spans="1:12" ht="9" thickBot="1" x14ac:dyDescent="0.25">
      <c r="A25" s="150" t="s">
        <v>221</v>
      </c>
      <c r="B25" s="157">
        <v>103670</v>
      </c>
      <c r="C25" s="158" t="s">
        <v>166</v>
      </c>
      <c r="D25" s="143" t="s">
        <v>84</v>
      </c>
      <c r="E25" s="152">
        <f>E24</f>
        <v>1.1674800000000001</v>
      </c>
      <c r="F25" s="179">
        <v>263.23</v>
      </c>
      <c r="G25" s="153">
        <f>F25+(F25*E4)</f>
        <v>325.18248724308756</v>
      </c>
      <c r="H25" s="140">
        <f t="shared" si="2"/>
        <v>379.64405020655988</v>
      </c>
      <c r="I25" s="183"/>
      <c r="J25" s="199" t="s">
        <v>200</v>
      </c>
    </row>
    <row r="26" spans="1:12" ht="9" thickBot="1" x14ac:dyDescent="0.25">
      <c r="A26" s="136" t="s">
        <v>226</v>
      </c>
      <c r="B26" s="276" t="s">
        <v>233</v>
      </c>
      <c r="C26" s="276"/>
      <c r="D26" s="180"/>
      <c r="E26" s="137"/>
      <c r="F26" s="186"/>
      <c r="G26" s="137"/>
      <c r="H26" s="138">
        <f>SUM(H27:H28)</f>
        <v>25448.998488878478</v>
      </c>
      <c r="I26" s="10"/>
      <c r="J26" s="191"/>
    </row>
    <row r="27" spans="1:12" x14ac:dyDescent="0.2">
      <c r="A27" s="141" t="s">
        <v>235</v>
      </c>
      <c r="B27" s="151" t="s">
        <v>103</v>
      </c>
      <c r="C27" s="142" t="s">
        <v>81</v>
      </c>
      <c r="D27" s="143" t="s">
        <v>72</v>
      </c>
      <c r="E27" s="152">
        <f>'Mat. Parque de Exposições '!D30</f>
        <v>922.32749999999999</v>
      </c>
      <c r="F27" s="155">
        <f>'COMPOSIÇÃO IV'!F24</f>
        <v>19.203002000000005</v>
      </c>
      <c r="G27" s="153">
        <f>F27+(F27*E4)</f>
        <v>23.722523849462394</v>
      </c>
      <c r="H27" s="140">
        <f>E27*G27</f>
        <v>21879.936115765027</v>
      </c>
      <c r="I27" s="183"/>
      <c r="J27" s="199" t="s">
        <v>199</v>
      </c>
    </row>
    <row r="28" spans="1:12" ht="9" thickBot="1" x14ac:dyDescent="0.25">
      <c r="A28" s="156" t="s">
        <v>236</v>
      </c>
      <c r="B28" s="157" t="s">
        <v>104</v>
      </c>
      <c r="C28" s="158" t="s">
        <v>82</v>
      </c>
      <c r="D28" s="159" t="s">
        <v>72</v>
      </c>
      <c r="E28" s="178">
        <f>E27</f>
        <v>922.32749999999999</v>
      </c>
      <c r="F28" s="163">
        <f>'COMPOSIÇÃO V'!F15</f>
        <v>3.1324000000000001</v>
      </c>
      <c r="G28" s="164">
        <f>F28+(F28*E4)</f>
        <v>3.8696258900590639</v>
      </c>
      <c r="H28" s="160">
        <f>E28*G28</f>
        <v>3569.062373113451</v>
      </c>
      <c r="I28" s="183"/>
      <c r="J28" s="199" t="s">
        <v>199</v>
      </c>
    </row>
    <row r="29" spans="1:12" ht="9" thickBot="1" x14ac:dyDescent="0.25">
      <c r="A29" s="136" t="s">
        <v>237</v>
      </c>
      <c r="B29" s="276" t="s">
        <v>234</v>
      </c>
      <c r="C29" s="276"/>
      <c r="D29" s="180"/>
      <c r="E29" s="137"/>
      <c r="F29" s="186"/>
      <c r="G29" s="137"/>
      <c r="H29" s="138">
        <f>SUM(H30:H31)</f>
        <v>12111.75931046633</v>
      </c>
      <c r="I29" s="183"/>
      <c r="J29" s="199"/>
    </row>
    <row r="30" spans="1:12" x14ac:dyDescent="0.2">
      <c r="A30" s="150" t="s">
        <v>238</v>
      </c>
      <c r="B30" s="151">
        <v>94213</v>
      </c>
      <c r="C30" s="142" t="s">
        <v>169</v>
      </c>
      <c r="D30" s="143" t="s">
        <v>52</v>
      </c>
      <c r="E30" s="152">
        <f>142.6+10.52+3.5</f>
        <v>156.62</v>
      </c>
      <c r="F30" s="179">
        <v>58.57</v>
      </c>
      <c r="G30" s="153">
        <f>F30+(F30*E4)</f>
        <v>72.354740256914624</v>
      </c>
      <c r="H30" s="154">
        <f>E30*G30</f>
        <v>11332.199419037968</v>
      </c>
      <c r="I30" s="183"/>
      <c r="J30" s="199" t="s">
        <v>222</v>
      </c>
      <c r="L30" s="132">
        <v>31.16</v>
      </c>
    </row>
    <row r="31" spans="1:12" ht="17.25" thickBot="1" x14ac:dyDescent="0.25">
      <c r="A31" s="169" t="s">
        <v>239</v>
      </c>
      <c r="B31" s="170" t="s">
        <v>80</v>
      </c>
      <c r="C31" s="171" t="s">
        <v>211</v>
      </c>
      <c r="D31" s="172" t="s">
        <v>53</v>
      </c>
      <c r="E31" s="192">
        <v>10</v>
      </c>
      <c r="F31" s="184">
        <f>'COMPOSIÇÃO III '!F19</f>
        <v>63.104121000000006</v>
      </c>
      <c r="G31" s="168">
        <f>F31+(F31*E4)</f>
        <v>77.955989142836131</v>
      </c>
      <c r="H31" s="173">
        <f>E31*G31</f>
        <v>779.55989142836131</v>
      </c>
      <c r="I31" s="183"/>
      <c r="J31" s="199" t="s">
        <v>213</v>
      </c>
    </row>
    <row r="32" spans="1:12" x14ac:dyDescent="0.2">
      <c r="A32" s="193"/>
      <c r="B32" s="194"/>
      <c r="C32" s="195"/>
      <c r="D32" s="193"/>
      <c r="E32" s="196"/>
      <c r="F32" s="197"/>
      <c r="G32" s="198"/>
      <c r="H32" s="198"/>
      <c r="I32" s="183"/>
      <c r="J32" s="209"/>
      <c r="K32" s="161"/>
    </row>
    <row r="33" spans="1:12" ht="9" thickBot="1" x14ac:dyDescent="0.25">
      <c r="A33" s="193"/>
      <c r="B33" s="194"/>
      <c r="C33" s="195"/>
      <c r="D33" s="193"/>
      <c r="E33" s="196"/>
      <c r="F33" s="197"/>
      <c r="G33" s="198"/>
      <c r="H33" s="198"/>
      <c r="I33" s="183"/>
      <c r="J33" s="209"/>
      <c r="K33" s="161"/>
    </row>
    <row r="34" spans="1:12" ht="12.75" thickBot="1" x14ac:dyDescent="0.25">
      <c r="A34" s="193"/>
      <c r="B34" s="194"/>
      <c r="C34" s="195"/>
      <c r="D34" s="275" t="s">
        <v>168</v>
      </c>
      <c r="E34" s="275"/>
      <c r="F34" s="275"/>
      <c r="G34" s="273">
        <f>H10+H12+H15+H26+H29</f>
        <v>54343.775156207696</v>
      </c>
      <c r="H34" s="274"/>
      <c r="I34" s="183"/>
      <c r="J34" s="209"/>
      <c r="K34" s="161"/>
    </row>
    <row r="35" spans="1:12" x14ac:dyDescent="0.2">
      <c r="A35" s="193"/>
      <c r="B35" s="194"/>
      <c r="C35" s="195"/>
      <c r="D35" s="193"/>
      <c r="E35" s="196"/>
      <c r="F35" s="197"/>
      <c r="G35" s="198"/>
      <c r="H35" s="198"/>
      <c r="I35" s="183"/>
      <c r="J35" s="209"/>
      <c r="K35" s="161"/>
    </row>
    <row r="36" spans="1:12" x14ac:dyDescent="0.2">
      <c r="A36" s="193"/>
      <c r="B36" s="194"/>
      <c r="C36" s="195"/>
      <c r="D36" s="193"/>
      <c r="E36" s="196"/>
      <c r="F36" s="197"/>
      <c r="G36" s="198"/>
      <c r="H36" s="198"/>
      <c r="I36" s="183"/>
      <c r="J36" s="209"/>
      <c r="K36" s="161"/>
    </row>
    <row r="37" spans="1:12" x14ac:dyDescent="0.2">
      <c r="A37" s="193"/>
      <c r="B37" s="194"/>
      <c r="C37" s="195"/>
      <c r="D37" s="193"/>
      <c r="E37" s="196"/>
      <c r="F37" s="197"/>
      <c r="G37" s="198"/>
      <c r="H37" s="198"/>
      <c r="I37" s="183"/>
      <c r="J37" s="209"/>
      <c r="K37" s="161"/>
    </row>
    <row r="38" spans="1:12" x14ac:dyDescent="0.2">
      <c r="A38" s="193"/>
      <c r="B38" s="194"/>
      <c r="C38" s="195"/>
      <c r="D38" s="193"/>
      <c r="E38" s="196"/>
      <c r="F38" s="197"/>
      <c r="G38" s="198"/>
      <c r="H38" s="198"/>
      <c r="I38" s="183"/>
      <c r="J38" s="209"/>
      <c r="K38" s="161"/>
    </row>
    <row r="39" spans="1:12" x14ac:dyDescent="0.2">
      <c r="A39" s="193"/>
      <c r="B39" s="194"/>
      <c r="C39" s="195"/>
      <c r="D39" s="193"/>
      <c r="E39" s="196"/>
      <c r="F39" s="197"/>
      <c r="G39" s="198"/>
      <c r="H39" s="198"/>
      <c r="I39" s="183"/>
      <c r="J39" s="209"/>
      <c r="K39" s="161"/>
    </row>
    <row r="40" spans="1:12" x14ac:dyDescent="0.2">
      <c r="A40" s="193"/>
      <c r="B40" s="194"/>
      <c r="C40" s="195"/>
      <c r="D40" s="193"/>
      <c r="E40" s="196"/>
      <c r="F40" s="197"/>
      <c r="G40" s="198"/>
      <c r="H40" s="198"/>
      <c r="I40" s="183"/>
      <c r="J40" s="209"/>
      <c r="K40" s="161"/>
    </row>
    <row r="41" spans="1:12" x14ac:dyDescent="0.2">
      <c r="A41" s="193"/>
      <c r="B41" s="194"/>
      <c r="C41" s="195"/>
      <c r="D41" s="193"/>
      <c r="E41" s="196"/>
      <c r="F41" s="197"/>
      <c r="G41" s="198"/>
      <c r="H41" s="198"/>
      <c r="I41" s="183"/>
      <c r="J41" s="209"/>
      <c r="K41" s="161"/>
    </row>
    <row r="42" spans="1:12" x14ac:dyDescent="0.2">
      <c r="A42" s="193"/>
      <c r="B42" s="194"/>
      <c r="C42" s="195"/>
      <c r="D42" s="193"/>
      <c r="E42" s="196"/>
      <c r="F42" s="197"/>
      <c r="G42" s="198"/>
      <c r="H42" s="198"/>
      <c r="I42" s="183"/>
      <c r="K42" s="161"/>
    </row>
    <row r="43" spans="1:12" x14ac:dyDescent="0.2">
      <c r="D43" s="132"/>
      <c r="F43" s="132"/>
      <c r="J43" s="174"/>
      <c r="L43" s="174"/>
    </row>
    <row r="47" spans="1:12" x14ac:dyDescent="0.2">
      <c r="E47" s="175"/>
      <c r="F47" s="187"/>
      <c r="G47" s="175"/>
      <c r="H47" s="175"/>
    </row>
    <row r="48" spans="1:12" x14ac:dyDescent="0.15">
      <c r="D48" s="181"/>
      <c r="E48" s="176"/>
      <c r="F48" s="188"/>
      <c r="G48" s="176"/>
      <c r="H48" s="176"/>
    </row>
    <row r="49" spans="5:8" x14ac:dyDescent="0.2">
      <c r="E49" s="175"/>
      <c r="F49" s="187"/>
      <c r="G49" s="175"/>
      <c r="H49" s="175"/>
    </row>
  </sheetData>
  <mergeCells count="18">
    <mergeCell ref="G34:H34"/>
    <mergeCell ref="D34:F34"/>
    <mergeCell ref="B10:C10"/>
    <mergeCell ref="B12:C12"/>
    <mergeCell ref="B15:C15"/>
    <mergeCell ref="B26:C26"/>
    <mergeCell ref="B29:C29"/>
    <mergeCell ref="B6:G6"/>
    <mergeCell ref="B7:G7"/>
    <mergeCell ref="C2:C4"/>
    <mergeCell ref="A5:H5"/>
    <mergeCell ref="A8:H8"/>
    <mergeCell ref="A1:H1"/>
    <mergeCell ref="A2:B4"/>
    <mergeCell ref="D2:F2"/>
    <mergeCell ref="G2:H4"/>
    <mergeCell ref="D3:F3"/>
    <mergeCell ref="E4:F4"/>
  </mergeCells>
  <phoneticPr fontId="27" type="noConversion"/>
  <pageMargins left="0.23622047244094491" right="0.23622047244094491" top="0.59055118110236227" bottom="0.39370078740157483" header="0.31496062992125984" footer="0.31496062992125984"/>
  <pageSetup paperSize="9" scale="4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980D-2DDC-41CA-BCE6-E9FC241576F9}">
  <sheetPr>
    <tabColor rgb="FF92D050"/>
    <pageSetUpPr fitToPage="1"/>
  </sheetPr>
  <dimension ref="A1:L32"/>
  <sheetViews>
    <sheetView zoomScale="145" zoomScaleNormal="145" workbookViewId="0">
      <selection activeCell="H25" sqref="A1:H25"/>
    </sheetView>
  </sheetViews>
  <sheetFormatPr defaultRowHeight="12.75" x14ac:dyDescent="0.2"/>
  <cols>
    <col min="1" max="1" width="6.83203125" customWidth="1"/>
    <col min="2" max="2" width="11.33203125" customWidth="1"/>
    <col min="3" max="3" width="61.33203125" customWidth="1"/>
    <col min="4" max="4" width="7.33203125" bestFit="1" customWidth="1"/>
    <col min="5" max="5" width="8.6640625" customWidth="1"/>
    <col min="6" max="6" width="6.6640625" customWidth="1"/>
    <col min="7" max="7" width="5" bestFit="1" customWidth="1"/>
    <col min="8" max="8" width="14.5" bestFit="1" customWidth="1"/>
    <col min="10" max="10" width="14.5" bestFit="1" customWidth="1"/>
    <col min="12" max="12" width="14.33203125" bestFit="1" customWidth="1"/>
  </cols>
  <sheetData>
    <row r="1" spans="1:9" ht="3" customHeight="1" thickBot="1" x14ac:dyDescent="0.25">
      <c r="A1" s="232"/>
      <c r="B1" s="233"/>
      <c r="C1" s="233"/>
      <c r="D1" s="233"/>
      <c r="E1" s="233"/>
      <c r="F1" s="233"/>
      <c r="G1" s="233"/>
      <c r="H1" s="234"/>
      <c r="I1" s="10"/>
    </row>
    <row r="2" spans="1:9" ht="24.95" customHeight="1" x14ac:dyDescent="0.2">
      <c r="A2" s="277"/>
      <c r="B2" s="278"/>
      <c r="C2" s="283" t="s">
        <v>66</v>
      </c>
      <c r="D2" s="284"/>
      <c r="E2" s="284"/>
      <c r="F2" s="284"/>
      <c r="G2" s="279" t="s">
        <v>197</v>
      </c>
      <c r="H2" s="280"/>
      <c r="I2" s="10"/>
    </row>
    <row r="3" spans="1:9" ht="13.7" customHeight="1" x14ac:dyDescent="0.2">
      <c r="A3" s="235"/>
      <c r="B3" s="236"/>
      <c r="C3" s="285"/>
      <c r="D3" s="286"/>
      <c r="E3" s="286"/>
      <c r="F3" s="286"/>
      <c r="G3" s="281" t="s">
        <v>1</v>
      </c>
      <c r="H3" s="282"/>
      <c r="I3" s="10"/>
    </row>
    <row r="4" spans="1:9" ht="17.25" customHeight="1" thickBot="1" x14ac:dyDescent="0.25">
      <c r="A4" s="235"/>
      <c r="B4" s="236"/>
      <c r="C4" s="287"/>
      <c r="D4" s="288"/>
      <c r="E4" s="288"/>
      <c r="F4" s="288"/>
      <c r="G4" s="124" t="s">
        <v>2</v>
      </c>
      <c r="H4" s="210">
        <f>BDI!E4</f>
        <v>0.23535496426352442</v>
      </c>
      <c r="I4" s="10"/>
    </row>
    <row r="5" spans="1:9" ht="9.75" customHeight="1" thickBot="1" x14ac:dyDescent="0.25">
      <c r="A5" s="289" t="s">
        <v>61</v>
      </c>
      <c r="B5" s="290"/>
      <c r="C5" s="290"/>
      <c r="D5" s="290"/>
      <c r="E5" s="290"/>
      <c r="F5" s="290"/>
      <c r="G5" s="290"/>
      <c r="H5" s="291"/>
      <c r="I5" s="10"/>
    </row>
    <row r="6" spans="1:9" ht="21.75" customHeight="1" x14ac:dyDescent="0.2">
      <c r="A6" s="22" t="s">
        <v>3</v>
      </c>
      <c r="B6" s="262" t="s">
        <v>229</v>
      </c>
      <c r="C6" s="262"/>
      <c r="D6" s="262"/>
      <c r="E6" s="262"/>
      <c r="F6" s="262"/>
      <c r="G6" s="262"/>
      <c r="H6" s="15" t="s">
        <v>67</v>
      </c>
      <c r="I6" s="10"/>
    </row>
    <row r="7" spans="1:9" ht="13.5" thickBot="1" x14ac:dyDescent="0.25">
      <c r="A7" s="22" t="s">
        <v>57</v>
      </c>
      <c r="B7" s="292" t="s">
        <v>230</v>
      </c>
      <c r="C7" s="292"/>
      <c r="D7" s="292"/>
      <c r="E7" s="292"/>
      <c r="F7" s="292"/>
      <c r="G7" s="292"/>
      <c r="H7" s="16">
        <f ca="1">TODAY()</f>
        <v>45098</v>
      </c>
      <c r="I7" s="10"/>
    </row>
    <row r="8" spans="1:9" ht="13.5" thickBot="1" x14ac:dyDescent="0.25">
      <c r="A8" s="293" t="s">
        <v>69</v>
      </c>
      <c r="B8" s="294"/>
      <c r="C8" s="294"/>
      <c r="D8" s="294"/>
      <c r="E8" s="294"/>
      <c r="F8" s="294"/>
      <c r="G8" s="294"/>
      <c r="H8" s="295"/>
      <c r="I8" s="10"/>
    </row>
    <row r="9" spans="1:9" ht="13.5" customHeight="1" x14ac:dyDescent="0.2">
      <c r="A9" s="296" t="s">
        <v>64</v>
      </c>
      <c r="B9" s="297"/>
      <c r="C9" s="297"/>
      <c r="D9" s="297"/>
      <c r="E9" s="297"/>
      <c r="F9" s="298"/>
      <c r="G9" s="80" t="s">
        <v>60</v>
      </c>
      <c r="H9" s="80" t="s">
        <v>240</v>
      </c>
    </row>
    <row r="10" spans="1:9" x14ac:dyDescent="0.15">
      <c r="A10" s="211">
        <f>'RESUMO ORÇ.'!A9</f>
        <v>1</v>
      </c>
      <c r="B10" s="304" t="str">
        <f>'RESUMO ORÇ.'!B9</f>
        <v xml:space="preserve">ADMINISTRAÇÃO LOCAL </v>
      </c>
      <c r="C10" s="304"/>
      <c r="D10" s="34">
        <f>E10/E15</f>
        <v>0.12197384899367504</v>
      </c>
      <c r="E10" s="308">
        <f>'RESUMO ORÇ.'!G9</f>
        <v>6628.5194246495066</v>
      </c>
      <c r="F10" s="309"/>
      <c r="G10" s="35">
        <v>1</v>
      </c>
      <c r="H10" s="81">
        <f>G10*E10</f>
        <v>6628.5194246495066</v>
      </c>
    </row>
    <row r="11" spans="1:9" ht="13.5" customHeight="1" x14ac:dyDescent="0.15">
      <c r="A11" s="211">
        <f>'RESUMO ORÇ.'!A10</f>
        <v>2</v>
      </c>
      <c r="B11" s="304" t="str">
        <f>'RESUMO ORÇ.'!B10</f>
        <v>SERVIÇOS PRELIMINARS</v>
      </c>
      <c r="C11" s="304"/>
      <c r="D11" s="34">
        <f>E11/E15</f>
        <v>3.8544608517502847E-2</v>
      </c>
      <c r="E11" s="308">
        <f>'RESUMO ORÇ.'!G10</f>
        <v>2094.6595387592229</v>
      </c>
      <c r="F11" s="309"/>
      <c r="G11" s="35">
        <v>1</v>
      </c>
      <c r="H11" s="81">
        <f>G11*E11</f>
        <v>2094.6595387592229</v>
      </c>
    </row>
    <row r="12" spans="1:9" x14ac:dyDescent="0.15">
      <c r="A12" s="211">
        <f>'RESUMO ORÇ.'!A11</f>
        <v>3</v>
      </c>
      <c r="B12" s="304" t="str">
        <f>'RESUMO ORÇ.'!B11</f>
        <v xml:space="preserve">ESTRUTURA EM CONCRETO ARMADO E FUNDAÇÕES </v>
      </c>
      <c r="C12" s="304"/>
      <c r="D12" s="34">
        <f>E12/E15</f>
        <v>0.14831208119580708</v>
      </c>
      <c r="E12" s="308">
        <f>'RESUMO ORÇ.'!G11</f>
        <v>8059.8383934541589</v>
      </c>
      <c r="F12" s="309"/>
      <c r="G12" s="35">
        <v>1</v>
      </c>
      <c r="H12" s="81">
        <f>G12*E12</f>
        <v>8059.8383934541589</v>
      </c>
    </row>
    <row r="13" spans="1:9" x14ac:dyDescent="0.15">
      <c r="A13" s="211">
        <f>'RESUMO ORÇ.'!A12</f>
        <v>4</v>
      </c>
      <c r="B13" s="304" t="str">
        <f>'RESUMO ORÇ.'!B12</f>
        <v xml:space="preserve">ESTRUTURA METÁLICA </v>
      </c>
      <c r="C13" s="304"/>
      <c r="D13" s="34">
        <f>E13/E15</f>
        <v>0.4682964776688216</v>
      </c>
      <c r="E13" s="308">
        <f>'RESUMO ORÇ.'!G12</f>
        <v>25448.998488878478</v>
      </c>
      <c r="F13" s="309"/>
      <c r="G13" s="35">
        <v>1</v>
      </c>
      <c r="H13" s="81">
        <f>G13*E13</f>
        <v>25448.998488878478</v>
      </c>
    </row>
    <row r="14" spans="1:9" ht="13.5" thickBot="1" x14ac:dyDescent="0.2">
      <c r="A14" s="211">
        <f>'RESUMO ORÇ.'!A13</f>
        <v>5</v>
      </c>
      <c r="B14" s="304" t="str">
        <f>'RESUMO ORÇ.'!B13</f>
        <v>COBERTURA</v>
      </c>
      <c r="C14" s="304"/>
      <c r="D14" s="34">
        <f>E14/E15</f>
        <v>0.22287298362419347</v>
      </c>
      <c r="E14" s="308">
        <f>'RESUMO ORÇ.'!G13</f>
        <v>12111.75931046633</v>
      </c>
      <c r="F14" s="309"/>
      <c r="G14" s="35">
        <v>1</v>
      </c>
      <c r="H14" s="81">
        <f>G14*E14</f>
        <v>12111.75931046633</v>
      </c>
    </row>
    <row r="15" spans="1:9" ht="13.5" thickBot="1" x14ac:dyDescent="0.2">
      <c r="A15" s="305" t="s">
        <v>63</v>
      </c>
      <c r="B15" s="306"/>
      <c r="C15" s="307"/>
      <c r="D15" s="52">
        <f>SUM(D10:D12)</f>
        <v>0.30883053870698496</v>
      </c>
      <c r="E15" s="310">
        <f>SUM(E10:F14)</f>
        <v>54343.775156207696</v>
      </c>
      <c r="F15" s="311"/>
      <c r="G15" s="53">
        <f>H15/E15</f>
        <v>1</v>
      </c>
      <c r="H15" s="82">
        <f>SUM(H10:H14)</f>
        <v>54343.775156207696</v>
      </c>
    </row>
    <row r="16" spans="1:9" ht="13.5" customHeight="1" thickBot="1" x14ac:dyDescent="0.2">
      <c r="A16" s="302" t="s">
        <v>62</v>
      </c>
      <c r="B16" s="303"/>
      <c r="C16" s="303"/>
      <c r="D16" s="303"/>
      <c r="E16" s="303"/>
      <c r="F16" s="303"/>
      <c r="G16" s="50">
        <f>H16/E15</f>
        <v>1</v>
      </c>
      <c r="H16" s="51">
        <f>H15</f>
        <v>54343.775156207696</v>
      </c>
    </row>
    <row r="17" spans="1:12" ht="12.75" customHeight="1" x14ac:dyDescent="0.2">
      <c r="A17" s="27"/>
      <c r="B17" s="28"/>
      <c r="C17" s="13"/>
      <c r="D17" s="13"/>
      <c r="E17" s="13"/>
      <c r="F17" s="29"/>
      <c r="G17" s="26"/>
      <c r="H17" s="26"/>
      <c r="I17" s="10"/>
    </row>
    <row r="18" spans="1:12" x14ac:dyDescent="0.2">
      <c r="A18" s="27"/>
      <c r="B18" s="28"/>
      <c r="C18" s="13"/>
      <c r="D18" s="13"/>
      <c r="E18" s="13"/>
      <c r="F18" s="29"/>
      <c r="G18" s="26"/>
      <c r="H18" s="26"/>
      <c r="I18" s="10"/>
    </row>
    <row r="19" spans="1:12" ht="12.75" customHeight="1" x14ac:dyDescent="0.2">
      <c r="A19" s="31"/>
      <c r="B19" s="31"/>
      <c r="C19" s="31"/>
      <c r="D19" s="31"/>
      <c r="E19" s="31"/>
      <c r="H19" s="31"/>
      <c r="I19" s="10"/>
    </row>
    <row r="20" spans="1:12" ht="12.75" customHeight="1" x14ac:dyDescent="0.2">
      <c r="A20" s="27"/>
      <c r="B20" s="28"/>
      <c r="C20" s="13"/>
      <c r="D20" s="13"/>
      <c r="E20" s="13"/>
      <c r="H20" s="26"/>
      <c r="I20" s="10"/>
    </row>
    <row r="21" spans="1:12" ht="13.5" customHeight="1" x14ac:dyDescent="0.2">
      <c r="A21" s="27"/>
      <c r="B21" s="28"/>
      <c r="C21" s="13"/>
      <c r="D21" s="13"/>
      <c r="E21" s="13"/>
      <c r="F21" s="301"/>
      <c r="G21" s="301"/>
      <c r="H21" s="26"/>
      <c r="I21" s="10"/>
    </row>
    <row r="22" spans="1:12" ht="12.75" customHeight="1" x14ac:dyDescent="0.2">
      <c r="A22" s="23"/>
      <c r="B22" s="24"/>
      <c r="C22" s="30"/>
      <c r="D22" s="30"/>
      <c r="E22" s="30"/>
      <c r="F22" s="299"/>
      <c r="G22" s="299"/>
      <c r="H22" s="25"/>
      <c r="I22" s="10"/>
      <c r="J22" s="21"/>
      <c r="K22" s="21"/>
    </row>
    <row r="23" spans="1:12" x14ac:dyDescent="0.2">
      <c r="A23" s="27"/>
      <c r="B23" s="28"/>
      <c r="C23" s="13"/>
      <c r="D23" s="13"/>
      <c r="E23" s="13"/>
      <c r="F23" s="300"/>
      <c r="G23" s="300"/>
      <c r="H23" s="26"/>
      <c r="I23" s="10"/>
    </row>
    <row r="24" spans="1:12" ht="6.75" customHeight="1" x14ac:dyDescent="0.2">
      <c r="A24" s="32"/>
      <c r="B24" s="32"/>
      <c r="C24" s="32"/>
      <c r="D24" s="32"/>
      <c r="E24" s="32"/>
      <c r="F24" s="32"/>
      <c r="G24" s="32"/>
      <c r="H24" s="32"/>
      <c r="I24" s="10"/>
    </row>
    <row r="25" spans="1:12" x14ac:dyDescent="0.2">
      <c r="A25" s="1"/>
      <c r="B25" s="1"/>
      <c r="C25" s="1"/>
      <c r="D25" s="1"/>
      <c r="E25" s="1"/>
      <c r="F25" s="1"/>
      <c r="G25" s="1"/>
      <c r="H25" s="1"/>
    </row>
    <row r="26" spans="1:12" x14ac:dyDescent="0.2">
      <c r="F26" s="33"/>
      <c r="G26" s="14"/>
      <c r="H26" s="14"/>
      <c r="J26" s="8"/>
      <c r="L26" s="8"/>
    </row>
    <row r="30" spans="1:12" x14ac:dyDescent="0.2">
      <c r="H30" s="18"/>
    </row>
    <row r="31" spans="1:12" x14ac:dyDescent="0.2">
      <c r="H31" s="17"/>
    </row>
    <row r="32" spans="1:12" x14ac:dyDescent="0.2">
      <c r="H32" s="19"/>
    </row>
  </sheetData>
  <mergeCells count="26">
    <mergeCell ref="F22:G22"/>
    <mergeCell ref="F23:G23"/>
    <mergeCell ref="F21:G21"/>
    <mergeCell ref="A16:F16"/>
    <mergeCell ref="B10:C10"/>
    <mergeCell ref="A15:C15"/>
    <mergeCell ref="B11:C11"/>
    <mergeCell ref="E10:F10"/>
    <mergeCell ref="E11:F11"/>
    <mergeCell ref="E15:F15"/>
    <mergeCell ref="B12:C12"/>
    <mergeCell ref="E12:F12"/>
    <mergeCell ref="B13:C13"/>
    <mergeCell ref="E13:F13"/>
    <mergeCell ref="B14:C14"/>
    <mergeCell ref="E14:F14"/>
    <mergeCell ref="A5:H5"/>
    <mergeCell ref="B6:G6"/>
    <mergeCell ref="B7:G7"/>
    <mergeCell ref="A8:H8"/>
    <mergeCell ref="A9:F9"/>
    <mergeCell ref="A1:H1"/>
    <mergeCell ref="A2:B4"/>
    <mergeCell ref="G2:H2"/>
    <mergeCell ref="G3:H3"/>
    <mergeCell ref="C2:F4"/>
  </mergeCells>
  <pageMargins left="0.25" right="0.25" top="0.75" bottom="0.75" header="0.3" footer="0.3"/>
  <pageSetup paperSize="9"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E089-2D91-4F5C-B52D-BCEB77D5C488}">
  <sheetPr>
    <tabColor rgb="FF92D050"/>
    <pageSetUpPr fitToPage="1"/>
  </sheetPr>
  <dimension ref="A1:H20"/>
  <sheetViews>
    <sheetView zoomScale="160" zoomScaleNormal="160" workbookViewId="0">
      <selection activeCell="B24" sqref="B24"/>
    </sheetView>
  </sheetViews>
  <sheetFormatPr defaultRowHeight="12.75" x14ac:dyDescent="0.2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1" customWidth="1"/>
  </cols>
  <sheetData>
    <row r="1" spans="1:8" ht="5.25" customHeight="1" x14ac:dyDescent="0.2">
      <c r="A1" s="324"/>
      <c r="B1" s="325"/>
      <c r="C1" s="325"/>
      <c r="D1" s="325"/>
      <c r="E1" s="325"/>
      <c r="F1" s="326"/>
    </row>
    <row r="2" spans="1:8" ht="26.85" customHeight="1" x14ac:dyDescent="0.2">
      <c r="A2" s="327"/>
      <c r="B2" s="329" t="s">
        <v>66</v>
      </c>
      <c r="C2" s="331" t="s">
        <v>197</v>
      </c>
      <c r="D2" s="332"/>
      <c r="E2" s="243"/>
      <c r="F2" s="244"/>
    </row>
    <row r="3" spans="1:8" ht="24.75" customHeight="1" thickBot="1" x14ac:dyDescent="0.25">
      <c r="A3" s="328"/>
      <c r="B3" s="330"/>
      <c r="C3" s="39" t="s">
        <v>19</v>
      </c>
      <c r="D3" s="40">
        <f>BDI!E4</f>
        <v>0.23535496426352442</v>
      </c>
      <c r="E3" s="333"/>
      <c r="F3" s="334"/>
    </row>
    <row r="4" spans="1:8" ht="9" customHeight="1" thickBot="1" x14ac:dyDescent="0.25">
      <c r="A4" s="289" t="s">
        <v>61</v>
      </c>
      <c r="B4" s="290"/>
      <c r="C4" s="290"/>
      <c r="D4" s="290"/>
      <c r="E4" s="290"/>
      <c r="F4" s="291"/>
      <c r="G4" s="38"/>
      <c r="H4" s="38"/>
    </row>
    <row r="5" spans="1:8" x14ac:dyDescent="0.2">
      <c r="A5" s="42" t="s">
        <v>3</v>
      </c>
      <c r="B5" s="262" t="s">
        <v>229</v>
      </c>
      <c r="C5" s="262"/>
      <c r="D5" s="262"/>
      <c r="E5" s="262"/>
      <c r="F5" s="15" t="s">
        <v>67</v>
      </c>
    </row>
    <row r="6" spans="1:8" ht="13.5" thickBot="1" x14ac:dyDescent="0.25">
      <c r="A6" s="43" t="s">
        <v>57</v>
      </c>
      <c r="B6" s="338" t="s">
        <v>230</v>
      </c>
      <c r="C6" s="338"/>
      <c r="D6" s="338"/>
      <c r="E6" s="49"/>
      <c r="F6" s="16">
        <f ca="1">TODAY()</f>
        <v>45098</v>
      </c>
    </row>
    <row r="7" spans="1:8" ht="12.75" customHeight="1" x14ac:dyDescent="0.2">
      <c r="A7" s="312" t="s">
        <v>79</v>
      </c>
      <c r="B7" s="313"/>
      <c r="C7" s="313"/>
      <c r="D7" s="313"/>
      <c r="E7" s="313"/>
      <c r="F7" s="314"/>
      <c r="G7" s="41"/>
      <c r="H7" s="41"/>
    </row>
    <row r="8" spans="1:8" ht="8.25" customHeight="1" x14ac:dyDescent="0.2">
      <c r="A8" s="57" t="s">
        <v>50</v>
      </c>
      <c r="B8" s="315" t="s">
        <v>4</v>
      </c>
      <c r="C8" s="316"/>
      <c r="D8" s="316"/>
      <c r="E8" s="317"/>
      <c r="F8" s="58" t="s">
        <v>5</v>
      </c>
    </row>
    <row r="9" spans="1:8" ht="16.5" x14ac:dyDescent="0.2">
      <c r="A9" s="59" t="s">
        <v>6</v>
      </c>
      <c r="B9" s="45" t="s">
        <v>7</v>
      </c>
      <c r="C9" s="45" t="s">
        <v>5</v>
      </c>
      <c r="D9" s="45" t="s">
        <v>8</v>
      </c>
      <c r="E9" s="45" t="s">
        <v>9</v>
      </c>
      <c r="F9" s="60" t="s">
        <v>10</v>
      </c>
      <c r="H9" s="177" t="s">
        <v>172</v>
      </c>
    </row>
    <row r="10" spans="1:8" ht="8.25" customHeight="1" x14ac:dyDescent="0.2">
      <c r="A10" s="318" t="s">
        <v>11</v>
      </c>
      <c r="B10" s="319"/>
      <c r="C10" s="319"/>
      <c r="D10" s="319"/>
      <c r="E10" s="319"/>
      <c r="F10" s="320"/>
    </row>
    <row r="11" spans="1:8" ht="8.25" customHeight="1" x14ac:dyDescent="0.2">
      <c r="A11" s="61">
        <v>90780</v>
      </c>
      <c r="B11" s="3" t="s">
        <v>12</v>
      </c>
      <c r="C11" s="4" t="s">
        <v>13</v>
      </c>
      <c r="D11" s="11">
        <f>3*4*4*1</f>
        <v>48</v>
      </c>
      <c r="E11" s="74">
        <v>57.8</v>
      </c>
      <c r="F11" s="62">
        <f>D11*E11</f>
        <v>2774.3999999999996</v>
      </c>
      <c r="G11" s="7"/>
      <c r="H11" s="46"/>
    </row>
    <row r="12" spans="1:8" ht="17.25" customHeight="1" x14ac:dyDescent="0.2">
      <c r="A12" s="63">
        <v>90777</v>
      </c>
      <c r="B12" s="5" t="s">
        <v>14</v>
      </c>
      <c r="C12" s="6" t="s">
        <v>13</v>
      </c>
      <c r="D12" s="12">
        <f>3*2*4*1</f>
        <v>24</v>
      </c>
      <c r="E12" s="129">
        <v>107.97</v>
      </c>
      <c r="F12" s="62">
        <f>D12*E12</f>
        <v>2591.2799999999997</v>
      </c>
      <c r="G12" s="7"/>
      <c r="H12" s="46" t="s">
        <v>144</v>
      </c>
    </row>
    <row r="13" spans="1:8" ht="8.25" customHeight="1" x14ac:dyDescent="0.2">
      <c r="A13" s="321"/>
      <c r="B13" s="322"/>
      <c r="C13" s="322"/>
      <c r="D13" s="323"/>
      <c r="E13" s="44" t="s">
        <v>15</v>
      </c>
      <c r="F13" s="64">
        <f>SUM(F11:F12)</f>
        <v>5365.6799999999994</v>
      </c>
    </row>
    <row r="14" spans="1:8" ht="8.25" customHeight="1" x14ac:dyDescent="0.2">
      <c r="A14" s="335"/>
      <c r="B14" s="336"/>
      <c r="C14" s="336"/>
      <c r="D14" s="336"/>
      <c r="E14" s="336"/>
      <c r="F14" s="337"/>
    </row>
    <row r="15" spans="1:8" ht="8.25" customHeight="1" x14ac:dyDescent="0.2">
      <c r="A15" s="344" t="s">
        <v>16</v>
      </c>
      <c r="B15" s="345"/>
      <c r="C15" s="345"/>
      <c r="D15" s="345"/>
      <c r="E15" s="345"/>
      <c r="F15" s="346"/>
    </row>
    <row r="16" spans="1:8" ht="8.25" customHeight="1" x14ac:dyDescent="0.2">
      <c r="A16" s="347" t="s">
        <v>7</v>
      </c>
      <c r="B16" s="348"/>
      <c r="C16" s="2" t="s">
        <v>5</v>
      </c>
      <c r="D16" s="349" t="s">
        <v>17</v>
      </c>
      <c r="E16" s="350"/>
      <c r="F16" s="351"/>
    </row>
    <row r="17" spans="1:6" ht="8.25" customHeight="1" x14ac:dyDescent="0.2">
      <c r="A17" s="318" t="s">
        <v>18</v>
      </c>
      <c r="B17" s="319"/>
      <c r="C17" s="319"/>
      <c r="D17" s="319"/>
      <c r="E17" s="319"/>
      <c r="F17" s="320"/>
    </row>
    <row r="18" spans="1:6" ht="8.25" customHeight="1" x14ac:dyDescent="0.2">
      <c r="A18" s="352" t="s">
        <v>12</v>
      </c>
      <c r="B18" s="353"/>
      <c r="C18" s="4" t="s">
        <v>13</v>
      </c>
      <c r="D18" s="341" t="s">
        <v>170</v>
      </c>
      <c r="E18" s="342"/>
      <c r="F18" s="343"/>
    </row>
    <row r="19" spans="1:6" ht="9.6" customHeight="1" x14ac:dyDescent="0.2">
      <c r="A19" s="339" t="s">
        <v>14</v>
      </c>
      <c r="B19" s="340"/>
      <c r="C19" s="4" t="s">
        <v>13</v>
      </c>
      <c r="D19" s="341" t="s">
        <v>171</v>
      </c>
      <c r="E19" s="342"/>
      <c r="F19" s="343"/>
    </row>
    <row r="20" spans="1:6" ht="9.6" customHeight="1" thickBot="1" x14ac:dyDescent="0.25">
      <c r="A20" s="65"/>
      <c r="B20" s="66"/>
      <c r="C20" s="66"/>
      <c r="D20" s="67"/>
      <c r="E20" s="68"/>
      <c r="F20" s="69"/>
    </row>
  </sheetData>
  <mergeCells count="21">
    <mergeCell ref="A14:F14"/>
    <mergeCell ref="B6:D6"/>
    <mergeCell ref="A19:B19"/>
    <mergeCell ref="D19:F19"/>
    <mergeCell ref="A15:F15"/>
    <mergeCell ref="A16:B16"/>
    <mergeCell ref="D16:F16"/>
    <mergeCell ref="A17:F17"/>
    <mergeCell ref="A18:B18"/>
    <mergeCell ref="D18:F18"/>
    <mergeCell ref="A1:F1"/>
    <mergeCell ref="A2:A3"/>
    <mergeCell ref="B2:B3"/>
    <mergeCell ref="C2:D2"/>
    <mergeCell ref="E2:F3"/>
    <mergeCell ref="A4:F4"/>
    <mergeCell ref="A7:F7"/>
    <mergeCell ref="B8:E8"/>
    <mergeCell ref="A10:F10"/>
    <mergeCell ref="A13:D13"/>
    <mergeCell ref="B5:E5"/>
  </mergeCells>
  <pageMargins left="0.25" right="0.25" top="0.75" bottom="0.75" header="0.3" footer="0.3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E481-3073-4131-A4D7-5AD380C22F83}">
  <sheetPr>
    <tabColor rgb="FF92D050"/>
    <pageSetUpPr fitToPage="1"/>
  </sheetPr>
  <dimension ref="A1:I23"/>
  <sheetViews>
    <sheetView zoomScale="130" zoomScaleNormal="130" workbookViewId="0">
      <selection sqref="A1:F32"/>
    </sheetView>
  </sheetViews>
  <sheetFormatPr defaultRowHeight="12.75" x14ac:dyDescent="0.2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2.1640625" customWidth="1"/>
  </cols>
  <sheetData>
    <row r="1" spans="1:9" ht="5.25" customHeight="1" x14ac:dyDescent="0.2">
      <c r="A1" s="324"/>
      <c r="B1" s="325"/>
      <c r="C1" s="325"/>
      <c r="D1" s="325"/>
      <c r="E1" s="325"/>
      <c r="F1" s="326"/>
    </row>
    <row r="2" spans="1:9" ht="26.85" customHeight="1" x14ac:dyDescent="0.2">
      <c r="A2" s="327"/>
      <c r="B2" s="329" t="s">
        <v>66</v>
      </c>
      <c r="C2" s="360" t="s">
        <v>197</v>
      </c>
      <c r="D2" s="361"/>
      <c r="E2" s="243"/>
      <c r="F2" s="244"/>
    </row>
    <row r="3" spans="1:9" ht="13.5" thickBot="1" x14ac:dyDescent="0.25">
      <c r="A3" s="328"/>
      <c r="B3" s="330"/>
      <c r="C3" s="71" t="s">
        <v>70</v>
      </c>
      <c r="D3" s="72">
        <f>[1]BDI!E4</f>
        <v>0.23535496426352442</v>
      </c>
      <c r="E3" s="333"/>
      <c r="F3" s="334"/>
    </row>
    <row r="4" spans="1:9" ht="13.5" thickBot="1" x14ac:dyDescent="0.25">
      <c r="A4" s="289" t="s">
        <v>61</v>
      </c>
      <c r="B4" s="290"/>
      <c r="C4" s="290"/>
      <c r="D4" s="290"/>
      <c r="E4" s="290"/>
      <c r="F4" s="291"/>
      <c r="G4" s="38"/>
      <c r="H4" s="38"/>
    </row>
    <row r="5" spans="1:9" x14ac:dyDescent="0.2">
      <c r="A5" s="42" t="s">
        <v>3</v>
      </c>
      <c r="B5" s="262" t="s">
        <v>229</v>
      </c>
      <c r="C5" s="262"/>
      <c r="D5" s="262"/>
      <c r="E5" s="262"/>
      <c r="F5" s="15" t="s">
        <v>67</v>
      </c>
    </row>
    <row r="6" spans="1:9" ht="13.5" thickBot="1" x14ac:dyDescent="0.25">
      <c r="A6" s="43" t="s">
        <v>57</v>
      </c>
      <c r="B6" s="338" t="s">
        <v>230</v>
      </c>
      <c r="C6" s="338"/>
      <c r="D6" s="338"/>
      <c r="E6" s="338"/>
      <c r="F6" s="16">
        <f ca="1">TODAY()</f>
        <v>45098</v>
      </c>
    </row>
    <row r="7" spans="1:9" ht="12.75" customHeight="1" x14ac:dyDescent="0.2">
      <c r="A7" s="312" t="s">
        <v>73</v>
      </c>
      <c r="B7" s="313"/>
      <c r="C7" s="313"/>
      <c r="D7" s="313"/>
      <c r="E7" s="313"/>
      <c r="F7" s="314"/>
      <c r="G7" s="41"/>
      <c r="H7" s="41"/>
    </row>
    <row r="8" spans="1:9" x14ac:dyDescent="0.2">
      <c r="A8" s="73" t="s">
        <v>50</v>
      </c>
      <c r="B8" s="315" t="s">
        <v>105</v>
      </c>
      <c r="C8" s="316"/>
      <c r="D8" s="316"/>
      <c r="E8" s="317"/>
      <c r="F8" s="58" t="s">
        <v>5</v>
      </c>
    </row>
    <row r="9" spans="1:9" ht="16.5" x14ac:dyDescent="0.2">
      <c r="A9" s="59" t="s">
        <v>6</v>
      </c>
      <c r="B9" s="45" t="s">
        <v>7</v>
      </c>
      <c r="C9" s="45" t="s">
        <v>5</v>
      </c>
      <c r="D9" s="45" t="s">
        <v>8</v>
      </c>
      <c r="E9" s="45" t="s">
        <v>9</v>
      </c>
      <c r="F9" s="60" t="s">
        <v>74</v>
      </c>
    </row>
    <row r="10" spans="1:9" ht="8.25" customHeight="1" x14ac:dyDescent="0.2">
      <c r="A10" s="318" t="s">
        <v>11</v>
      </c>
      <c r="B10" s="319"/>
      <c r="C10" s="319"/>
      <c r="D10" s="319"/>
      <c r="E10" s="319"/>
      <c r="F10" s="320"/>
    </row>
    <row r="11" spans="1:9" ht="16.5" x14ac:dyDescent="0.2">
      <c r="A11" s="63">
        <v>4417</v>
      </c>
      <c r="B11" s="3" t="s">
        <v>106</v>
      </c>
      <c r="C11" s="4" t="s">
        <v>107</v>
      </c>
      <c r="D11" s="11" t="s">
        <v>108</v>
      </c>
      <c r="E11" s="74">
        <v>6.42</v>
      </c>
      <c r="F11" s="62">
        <f>E11*D11</f>
        <v>6.42</v>
      </c>
      <c r="G11" s="7"/>
    </row>
    <row r="12" spans="1:9" ht="16.5" x14ac:dyDescent="0.2">
      <c r="A12" s="63">
        <v>4491</v>
      </c>
      <c r="B12" s="3" t="s">
        <v>109</v>
      </c>
      <c r="C12" s="4" t="s">
        <v>107</v>
      </c>
      <c r="D12" s="11" t="s">
        <v>110</v>
      </c>
      <c r="E12" s="74">
        <v>12.68</v>
      </c>
      <c r="F12" s="62">
        <f t="shared" ref="F12:F17" si="0">E12*D12</f>
        <v>50.72</v>
      </c>
      <c r="G12" s="7"/>
      <c r="H12" s="177" t="s">
        <v>172</v>
      </c>
    </row>
    <row r="13" spans="1:9" ht="16.5" x14ac:dyDescent="0.2">
      <c r="A13" s="63">
        <v>4813</v>
      </c>
      <c r="B13" s="3" t="s">
        <v>111</v>
      </c>
      <c r="C13" s="4" t="s">
        <v>112</v>
      </c>
      <c r="D13" s="11" t="s">
        <v>108</v>
      </c>
      <c r="E13" s="74">
        <v>250</v>
      </c>
      <c r="F13" s="62">
        <f t="shared" si="0"/>
        <v>250</v>
      </c>
      <c r="G13" s="7"/>
    </row>
    <row r="14" spans="1:9" x14ac:dyDescent="0.2">
      <c r="A14" s="63">
        <v>5075</v>
      </c>
      <c r="B14" s="3" t="s">
        <v>113</v>
      </c>
      <c r="C14" s="4" t="s">
        <v>114</v>
      </c>
      <c r="D14" s="11" t="s">
        <v>115</v>
      </c>
      <c r="E14" s="74">
        <v>25.41</v>
      </c>
      <c r="F14" s="62">
        <f t="shared" si="0"/>
        <v>2.7951000000000001</v>
      </c>
      <c r="G14" s="7"/>
      <c r="I14" s="46" t="s">
        <v>144</v>
      </c>
    </row>
    <row r="15" spans="1:9" x14ac:dyDescent="0.2">
      <c r="A15" s="63">
        <v>88262</v>
      </c>
      <c r="B15" s="3" t="s">
        <v>116</v>
      </c>
      <c r="C15" s="4" t="s">
        <v>75</v>
      </c>
      <c r="D15" s="11" t="s">
        <v>108</v>
      </c>
      <c r="E15" s="74">
        <v>23.96</v>
      </c>
      <c r="F15" s="62">
        <f t="shared" si="0"/>
        <v>23.96</v>
      </c>
      <c r="G15" s="7"/>
    </row>
    <row r="16" spans="1:9" x14ac:dyDescent="0.2">
      <c r="A16" s="63">
        <v>88316</v>
      </c>
      <c r="B16" s="3" t="s">
        <v>76</v>
      </c>
      <c r="C16" s="4" t="s">
        <v>75</v>
      </c>
      <c r="D16" s="11" t="s">
        <v>117</v>
      </c>
      <c r="E16" s="74">
        <v>19.29</v>
      </c>
      <c r="F16" s="62">
        <f t="shared" si="0"/>
        <v>38.58</v>
      </c>
      <c r="G16" s="7"/>
    </row>
    <row r="17" spans="1:7" ht="16.5" x14ac:dyDescent="0.2">
      <c r="A17" s="63">
        <v>94962</v>
      </c>
      <c r="B17" s="3" t="s">
        <v>118</v>
      </c>
      <c r="C17" s="4" t="s">
        <v>119</v>
      </c>
      <c r="D17" s="11" t="s">
        <v>120</v>
      </c>
      <c r="E17" s="74">
        <v>432.34</v>
      </c>
      <c r="F17" s="62">
        <f t="shared" si="0"/>
        <v>4.3233999999999995</v>
      </c>
      <c r="G17" s="7"/>
    </row>
    <row r="18" spans="1:7" ht="8.25" customHeight="1" x14ac:dyDescent="0.2">
      <c r="A18" s="321"/>
      <c r="B18" s="322"/>
      <c r="C18" s="322"/>
      <c r="D18" s="323"/>
      <c r="E18" s="44" t="s">
        <v>15</v>
      </c>
      <c r="F18" s="64">
        <f>SUM(F11:F17)</f>
        <v>376.79849999999993</v>
      </c>
    </row>
    <row r="19" spans="1:7" ht="10.5" customHeight="1" x14ac:dyDescent="0.2">
      <c r="A19" s="354" t="s">
        <v>77</v>
      </c>
      <c r="B19" s="355"/>
      <c r="C19" s="355"/>
      <c r="D19" s="355"/>
      <c r="E19" s="355"/>
      <c r="F19" s="356"/>
    </row>
    <row r="20" spans="1:7" ht="14.25" customHeight="1" x14ac:dyDescent="0.2">
      <c r="A20" s="357" t="s">
        <v>78</v>
      </c>
      <c r="B20" s="358"/>
      <c r="C20" s="358"/>
      <c r="D20" s="358"/>
      <c r="E20" s="358"/>
      <c r="F20" s="359"/>
    </row>
    <row r="21" spans="1:7" ht="8.25" customHeight="1" x14ac:dyDescent="0.2">
      <c r="A21" s="347" t="s">
        <v>121</v>
      </c>
      <c r="B21" s="350"/>
      <c r="C21" s="350"/>
      <c r="D21" s="350"/>
      <c r="E21" s="350"/>
      <c r="F21" s="351"/>
    </row>
    <row r="22" spans="1:7" ht="13.5" thickBot="1" x14ac:dyDescent="0.25">
      <c r="A22" s="75"/>
      <c r="B22" s="76"/>
      <c r="C22" s="76"/>
      <c r="D22" s="76"/>
      <c r="E22" s="76"/>
      <c r="F22" s="77"/>
    </row>
    <row r="23" spans="1:7" ht="9.6" customHeight="1" x14ac:dyDescent="0.2"/>
  </sheetData>
  <mergeCells count="15">
    <mergeCell ref="A4:F4"/>
    <mergeCell ref="A1:F1"/>
    <mergeCell ref="A2:A3"/>
    <mergeCell ref="B2:B3"/>
    <mergeCell ref="C2:D2"/>
    <mergeCell ref="E2:F3"/>
    <mergeCell ref="A19:F19"/>
    <mergeCell ref="A20:F20"/>
    <mergeCell ref="A21:F21"/>
    <mergeCell ref="B5:E5"/>
    <mergeCell ref="B6:E6"/>
    <mergeCell ref="A7:F7"/>
    <mergeCell ref="B8:E8"/>
    <mergeCell ref="A10:F10"/>
    <mergeCell ref="A18:D18"/>
  </mergeCells>
  <pageMargins left="0.25" right="0.25" top="0.75" bottom="0.75" header="0.3" footer="0.3"/>
  <pageSetup paperSize="9" scale="6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8E05-035A-4D46-A8AA-6E4108AB6E6D}">
  <sheetPr>
    <tabColor rgb="FF92D050"/>
    <pageSetUpPr fitToPage="1"/>
  </sheetPr>
  <dimension ref="A1:H24"/>
  <sheetViews>
    <sheetView topLeftCell="A27" zoomScale="145" zoomScaleNormal="145" workbookViewId="0">
      <selection sqref="A1:F33"/>
    </sheetView>
  </sheetViews>
  <sheetFormatPr defaultRowHeight="12.75" x14ac:dyDescent="0.2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2.1640625" customWidth="1"/>
  </cols>
  <sheetData>
    <row r="1" spans="1:8" ht="5.25" customHeight="1" x14ac:dyDescent="0.2">
      <c r="A1" s="324"/>
      <c r="B1" s="325"/>
      <c r="C1" s="325"/>
      <c r="D1" s="325"/>
      <c r="E1" s="325"/>
      <c r="F1" s="326"/>
    </row>
    <row r="2" spans="1:8" ht="26.85" customHeight="1" x14ac:dyDescent="0.2">
      <c r="A2" s="327"/>
      <c r="B2" s="329" t="s">
        <v>66</v>
      </c>
      <c r="C2" s="360" t="s">
        <v>197</v>
      </c>
      <c r="D2" s="361"/>
      <c r="E2" s="243"/>
      <c r="F2" s="244"/>
    </row>
    <row r="3" spans="1:8" ht="13.5" thickBot="1" x14ac:dyDescent="0.25">
      <c r="A3" s="328"/>
      <c r="B3" s="330"/>
      <c r="C3" s="71" t="s">
        <v>70</v>
      </c>
      <c r="D3" s="72">
        <f>[1]BDI!E4</f>
        <v>0.23535496426352442</v>
      </c>
      <c r="E3" s="333"/>
      <c r="F3" s="334"/>
    </row>
    <row r="4" spans="1:8" ht="13.5" thickBot="1" x14ac:dyDescent="0.25">
      <c r="A4" s="289" t="s">
        <v>61</v>
      </c>
      <c r="B4" s="290"/>
      <c r="C4" s="290"/>
      <c r="D4" s="290"/>
      <c r="E4" s="290"/>
      <c r="F4" s="291"/>
      <c r="G4" s="38"/>
      <c r="H4" s="38"/>
    </row>
    <row r="5" spans="1:8" x14ac:dyDescent="0.2">
      <c r="A5" s="42" t="s">
        <v>3</v>
      </c>
      <c r="B5" s="262" t="s">
        <v>229</v>
      </c>
      <c r="C5" s="262"/>
      <c r="D5" s="262"/>
      <c r="E5" s="262"/>
      <c r="F5" s="15" t="s">
        <v>67</v>
      </c>
    </row>
    <row r="6" spans="1:8" ht="13.5" thickBot="1" x14ac:dyDescent="0.25">
      <c r="A6" s="43" t="s">
        <v>57</v>
      </c>
      <c r="B6" s="338" t="s">
        <v>230</v>
      </c>
      <c r="C6" s="338"/>
      <c r="D6" s="338"/>
      <c r="E6" s="338"/>
      <c r="F6" s="16">
        <f ca="1">TODAY()</f>
        <v>45098</v>
      </c>
    </row>
    <row r="7" spans="1:8" ht="12.75" customHeight="1" x14ac:dyDescent="0.2">
      <c r="A7" s="312" t="s">
        <v>80</v>
      </c>
      <c r="B7" s="313"/>
      <c r="C7" s="313"/>
      <c r="D7" s="313"/>
      <c r="E7" s="313"/>
      <c r="F7" s="314"/>
      <c r="G7" s="41"/>
      <c r="H7" s="41"/>
    </row>
    <row r="8" spans="1:8" x14ac:dyDescent="0.2">
      <c r="A8" s="73" t="s">
        <v>50</v>
      </c>
      <c r="B8" s="315" t="s">
        <v>210</v>
      </c>
      <c r="C8" s="316"/>
      <c r="D8" s="316"/>
      <c r="E8" s="317"/>
      <c r="F8" s="58" t="s">
        <v>5</v>
      </c>
    </row>
    <row r="9" spans="1:8" ht="16.5" x14ac:dyDescent="0.2">
      <c r="A9" s="59" t="s">
        <v>6</v>
      </c>
      <c r="B9" s="45" t="s">
        <v>7</v>
      </c>
      <c r="C9" s="45" t="s">
        <v>5</v>
      </c>
      <c r="D9" s="45" t="s">
        <v>8</v>
      </c>
      <c r="E9" s="45" t="s">
        <v>9</v>
      </c>
      <c r="F9" s="60" t="s">
        <v>74</v>
      </c>
    </row>
    <row r="10" spans="1:8" ht="10.5" customHeight="1" x14ac:dyDescent="0.2">
      <c r="A10" s="318" t="s">
        <v>122</v>
      </c>
      <c r="B10" s="319"/>
      <c r="C10" s="319"/>
      <c r="D10" s="319"/>
      <c r="E10" s="319"/>
      <c r="F10" s="320"/>
    </row>
    <row r="11" spans="1:8" ht="16.5" x14ac:dyDescent="0.2">
      <c r="A11" s="61" t="s">
        <v>140</v>
      </c>
      <c r="B11" s="3" t="s">
        <v>202</v>
      </c>
      <c r="C11" s="4" t="s">
        <v>107</v>
      </c>
      <c r="D11" s="79">
        <v>1.08</v>
      </c>
      <c r="E11" s="74">
        <v>45</v>
      </c>
      <c r="F11" s="62">
        <f>E11*D11</f>
        <v>48.6</v>
      </c>
    </row>
    <row r="12" spans="1:8" ht="24.75" x14ac:dyDescent="0.2">
      <c r="A12" s="61">
        <v>11029</v>
      </c>
      <c r="B12" s="3" t="s">
        <v>203</v>
      </c>
      <c r="C12" s="4" t="s">
        <v>204</v>
      </c>
      <c r="D12" s="79">
        <v>6.36</v>
      </c>
      <c r="E12" s="74">
        <v>1.69</v>
      </c>
      <c r="F12" s="62">
        <f>E12*D12</f>
        <v>10.7484</v>
      </c>
    </row>
    <row r="13" spans="1:8" ht="12" customHeight="1" x14ac:dyDescent="0.2">
      <c r="A13" s="318" t="s">
        <v>83</v>
      </c>
      <c r="B13" s="319"/>
      <c r="C13" s="319"/>
      <c r="D13" s="319"/>
      <c r="E13" s="319"/>
      <c r="F13" s="320"/>
    </row>
    <row r="14" spans="1:8" ht="16.5" x14ac:dyDescent="0.2">
      <c r="A14" s="61">
        <v>93281</v>
      </c>
      <c r="B14" s="3" t="s">
        <v>205</v>
      </c>
      <c r="C14" s="4" t="s">
        <v>131</v>
      </c>
      <c r="D14" s="79">
        <v>2E-3</v>
      </c>
      <c r="E14" s="74">
        <v>19.2</v>
      </c>
      <c r="F14" s="62">
        <f>E14*D14</f>
        <v>3.8399999999999997E-2</v>
      </c>
    </row>
    <row r="15" spans="1:8" ht="16.5" x14ac:dyDescent="0.2">
      <c r="A15" s="61">
        <v>93282</v>
      </c>
      <c r="B15" s="3" t="s">
        <v>206</v>
      </c>
      <c r="C15" s="4" t="s">
        <v>207</v>
      </c>
      <c r="D15" s="79">
        <v>2.7000000000000001E-3</v>
      </c>
      <c r="E15" s="74">
        <v>18.03</v>
      </c>
      <c r="F15" s="62">
        <f>E15*D15</f>
        <v>4.8681000000000009E-2</v>
      </c>
    </row>
    <row r="16" spans="1:8" ht="8.25" customHeight="1" x14ac:dyDescent="0.2">
      <c r="A16" s="318" t="s">
        <v>11</v>
      </c>
      <c r="B16" s="319"/>
      <c r="C16" s="319"/>
      <c r="D16" s="319"/>
      <c r="E16" s="319"/>
      <c r="F16" s="320"/>
    </row>
    <row r="17" spans="1:7" x14ac:dyDescent="0.2">
      <c r="A17" s="61">
        <v>88323</v>
      </c>
      <c r="B17" s="3" t="s">
        <v>208</v>
      </c>
      <c r="C17" s="4" t="s">
        <v>75</v>
      </c>
      <c r="D17" s="78">
        <v>7.9000000000000001E-2</v>
      </c>
      <c r="E17" s="74">
        <v>23.73</v>
      </c>
      <c r="F17" s="62">
        <f>E17*D17</f>
        <v>1.8746700000000001</v>
      </c>
      <c r="G17" s="7"/>
    </row>
    <row r="18" spans="1:7" x14ac:dyDescent="0.2">
      <c r="A18" s="61">
        <v>88316</v>
      </c>
      <c r="B18" s="3" t="s">
        <v>76</v>
      </c>
      <c r="C18" s="4" t="s">
        <v>75</v>
      </c>
      <c r="D18" s="78">
        <v>9.2999999999999999E-2</v>
      </c>
      <c r="E18" s="74">
        <v>19.29</v>
      </c>
      <c r="F18" s="62">
        <f t="shared" ref="F18" si="0">E18*D18</f>
        <v>1.7939699999999998</v>
      </c>
      <c r="G18" s="7"/>
    </row>
    <row r="19" spans="1:7" ht="8.25" customHeight="1" x14ac:dyDescent="0.2">
      <c r="A19" s="321"/>
      <c r="B19" s="322"/>
      <c r="C19" s="322"/>
      <c r="D19" s="323"/>
      <c r="E19" s="44" t="s">
        <v>15</v>
      </c>
      <c r="F19" s="64">
        <f>SUM(F11:F18)</f>
        <v>63.104121000000006</v>
      </c>
    </row>
    <row r="20" spans="1:7" ht="10.5" customHeight="1" x14ac:dyDescent="0.2">
      <c r="A20" s="354" t="s">
        <v>77</v>
      </c>
      <c r="B20" s="355"/>
      <c r="C20" s="355"/>
      <c r="D20" s="355"/>
      <c r="E20" s="355"/>
      <c r="F20" s="356"/>
    </row>
    <row r="21" spans="1:7" ht="14.25" customHeight="1" x14ac:dyDescent="0.2">
      <c r="A21" s="357" t="s">
        <v>78</v>
      </c>
      <c r="B21" s="358"/>
      <c r="C21" s="358"/>
      <c r="D21" s="358"/>
      <c r="E21" s="358"/>
      <c r="F21" s="359"/>
    </row>
    <row r="22" spans="1:7" ht="19.5" customHeight="1" x14ac:dyDescent="0.2">
      <c r="A22" s="347" t="s">
        <v>209</v>
      </c>
      <c r="B22" s="350"/>
      <c r="C22" s="350"/>
      <c r="D22" s="350"/>
      <c r="E22" s="350"/>
      <c r="F22" s="351"/>
    </row>
    <row r="23" spans="1:7" ht="13.5" thickBot="1" x14ac:dyDescent="0.25">
      <c r="A23" s="75"/>
      <c r="B23" s="76"/>
      <c r="C23" s="76"/>
      <c r="D23" s="76"/>
      <c r="E23" s="76"/>
      <c r="F23" s="77"/>
    </row>
    <row r="24" spans="1:7" ht="9.6" customHeight="1" x14ac:dyDescent="0.2"/>
  </sheetData>
  <mergeCells count="17">
    <mergeCell ref="A13:F13"/>
    <mergeCell ref="A1:F1"/>
    <mergeCell ref="A2:A3"/>
    <mergeCell ref="B2:B3"/>
    <mergeCell ref="C2:D2"/>
    <mergeCell ref="E2:F3"/>
    <mergeCell ref="A4:F4"/>
    <mergeCell ref="B5:E5"/>
    <mergeCell ref="B6:E6"/>
    <mergeCell ref="A7:F7"/>
    <mergeCell ref="B8:E8"/>
    <mergeCell ref="A10:F10"/>
    <mergeCell ref="A16:F16"/>
    <mergeCell ref="A19:D19"/>
    <mergeCell ref="A20:F20"/>
    <mergeCell ref="A21:F21"/>
    <mergeCell ref="A22:F22"/>
  </mergeCells>
  <pageMargins left="0.511811024" right="0.511811024" top="0.78740157499999996" bottom="0.78740157499999996" header="0.31496062000000002" footer="0.31496062000000002"/>
  <pageSetup paperSize="9" scale="8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D93F-D920-4AA8-8838-288A4B3296FA}">
  <sheetPr>
    <tabColor rgb="FF92D050"/>
    <pageSetUpPr fitToPage="1"/>
  </sheetPr>
  <dimension ref="A1:J29"/>
  <sheetViews>
    <sheetView topLeftCell="A20" zoomScale="145" zoomScaleNormal="145" workbookViewId="0">
      <selection activeCell="E43" sqref="E43"/>
    </sheetView>
  </sheetViews>
  <sheetFormatPr defaultRowHeight="12.75" x14ac:dyDescent="0.2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2.1640625" customWidth="1"/>
  </cols>
  <sheetData>
    <row r="1" spans="1:8" ht="5.25" customHeight="1" x14ac:dyDescent="0.2">
      <c r="A1" s="324"/>
      <c r="B1" s="325"/>
      <c r="C1" s="325"/>
      <c r="D1" s="325"/>
      <c r="E1" s="325"/>
      <c r="F1" s="326"/>
    </row>
    <row r="2" spans="1:8" ht="33.75" customHeight="1" x14ac:dyDescent="0.2">
      <c r="A2" s="327"/>
      <c r="B2" s="329" t="s">
        <v>66</v>
      </c>
      <c r="C2" s="360" t="s">
        <v>197</v>
      </c>
      <c r="D2" s="361"/>
      <c r="E2" s="243"/>
      <c r="F2" s="244"/>
    </row>
    <row r="3" spans="1:8" ht="21" customHeight="1" thickBot="1" x14ac:dyDescent="0.25">
      <c r="A3" s="328"/>
      <c r="B3" s="330"/>
      <c r="C3" s="71" t="s">
        <v>70</v>
      </c>
      <c r="D3" s="72">
        <f>[1]BDI!E4</f>
        <v>0.23535496426352442</v>
      </c>
      <c r="E3" s="333"/>
      <c r="F3" s="334"/>
    </row>
    <row r="4" spans="1:8" ht="13.5" thickBot="1" x14ac:dyDescent="0.25">
      <c r="A4" s="362" t="s">
        <v>61</v>
      </c>
      <c r="B4" s="363"/>
      <c r="C4" s="363"/>
      <c r="D4" s="363"/>
      <c r="E4" s="363"/>
      <c r="F4" s="364"/>
      <c r="G4" s="38"/>
      <c r="H4" s="38"/>
    </row>
    <row r="5" spans="1:8" x14ac:dyDescent="0.2">
      <c r="A5" s="42" t="s">
        <v>3</v>
      </c>
      <c r="B5" s="262" t="s">
        <v>229</v>
      </c>
      <c r="C5" s="262"/>
      <c r="D5" s="262"/>
      <c r="E5" s="262"/>
      <c r="F5" s="15" t="s">
        <v>67</v>
      </c>
    </row>
    <row r="6" spans="1:8" ht="13.5" thickBot="1" x14ac:dyDescent="0.25">
      <c r="A6" s="43" t="s">
        <v>57</v>
      </c>
      <c r="B6" s="338" t="s">
        <v>241</v>
      </c>
      <c r="C6" s="338"/>
      <c r="D6" s="338"/>
      <c r="E6" s="338"/>
      <c r="F6" s="16">
        <f ca="1">TODAY()</f>
        <v>45098</v>
      </c>
    </row>
    <row r="7" spans="1:8" ht="12.75" customHeight="1" x14ac:dyDescent="0.2">
      <c r="A7" s="312" t="s">
        <v>103</v>
      </c>
      <c r="B7" s="313"/>
      <c r="C7" s="313"/>
      <c r="D7" s="313"/>
      <c r="E7" s="313"/>
      <c r="F7" s="314"/>
      <c r="G7" s="41"/>
      <c r="H7" s="41"/>
    </row>
    <row r="8" spans="1:8" x14ac:dyDescent="0.2">
      <c r="A8" s="73" t="s">
        <v>50</v>
      </c>
      <c r="B8" s="315" t="s">
        <v>81</v>
      </c>
      <c r="C8" s="316"/>
      <c r="D8" s="316"/>
      <c r="E8" s="317"/>
      <c r="F8" s="58" t="s">
        <v>5</v>
      </c>
    </row>
    <row r="9" spans="1:8" ht="16.5" x14ac:dyDescent="0.2">
      <c r="A9" s="59" t="s">
        <v>6</v>
      </c>
      <c r="B9" s="45" t="s">
        <v>7</v>
      </c>
      <c r="C9" s="45" t="s">
        <v>5</v>
      </c>
      <c r="D9" s="45" t="s">
        <v>8</v>
      </c>
      <c r="E9" s="45" t="s">
        <v>9</v>
      </c>
      <c r="F9" s="60" t="s">
        <v>74</v>
      </c>
    </row>
    <row r="10" spans="1:8" x14ac:dyDescent="0.2">
      <c r="A10" s="318" t="s">
        <v>122</v>
      </c>
      <c r="B10" s="319"/>
      <c r="C10" s="319"/>
      <c r="D10" s="319"/>
      <c r="E10" s="319"/>
      <c r="F10" s="320"/>
    </row>
    <row r="11" spans="1:8" ht="16.5" x14ac:dyDescent="0.2">
      <c r="A11" s="61">
        <v>40598</v>
      </c>
      <c r="B11" s="3" t="s">
        <v>123</v>
      </c>
      <c r="C11" s="4" t="s">
        <v>114</v>
      </c>
      <c r="D11" s="79">
        <v>0.52500000000000002</v>
      </c>
      <c r="E11" s="74">
        <v>10.98</v>
      </c>
      <c r="F11" s="128">
        <f>E11*D11</f>
        <v>5.7645000000000008</v>
      </c>
    </row>
    <row r="12" spans="1:8" x14ac:dyDescent="0.2">
      <c r="A12" s="61">
        <v>546</v>
      </c>
      <c r="B12" s="3" t="s">
        <v>124</v>
      </c>
      <c r="C12" s="4" t="s">
        <v>114</v>
      </c>
      <c r="D12" s="79">
        <v>0.52500000000000002</v>
      </c>
      <c r="E12" s="74">
        <v>9.58</v>
      </c>
      <c r="F12" s="128">
        <f t="shared" ref="F12:F13" si="0">E12*D12</f>
        <v>5.0295000000000005</v>
      </c>
    </row>
    <row r="13" spans="1:8" x14ac:dyDescent="0.2">
      <c r="A13" s="61">
        <v>7307</v>
      </c>
      <c r="B13" s="3" t="s">
        <v>126</v>
      </c>
      <c r="C13" s="4" t="s">
        <v>130</v>
      </c>
      <c r="D13" s="79">
        <v>2.5000000000000001E-3</v>
      </c>
      <c r="E13" s="74">
        <v>36.69</v>
      </c>
      <c r="F13" s="128">
        <f t="shared" si="0"/>
        <v>9.1725000000000001E-2</v>
      </c>
      <c r="H13" s="46" t="s">
        <v>196</v>
      </c>
    </row>
    <row r="14" spans="1:8" x14ac:dyDescent="0.2">
      <c r="A14" s="61">
        <v>10997</v>
      </c>
      <c r="B14" s="3" t="s">
        <v>127</v>
      </c>
      <c r="C14" s="4" t="s">
        <v>114</v>
      </c>
      <c r="D14" s="79">
        <v>1.2999999999999999E-2</v>
      </c>
      <c r="E14" s="74">
        <v>28.82</v>
      </c>
      <c r="F14" s="128">
        <f t="shared" ref="F14:F16" si="1">E14*D14</f>
        <v>0.37465999999999999</v>
      </c>
    </row>
    <row r="15" spans="1:8" x14ac:dyDescent="0.2">
      <c r="A15" s="61">
        <v>5318</v>
      </c>
      <c r="B15" s="3" t="s">
        <v>128</v>
      </c>
      <c r="C15" s="4" t="s">
        <v>130</v>
      </c>
      <c r="D15" s="79">
        <v>2.9999999999999997E-4</v>
      </c>
      <c r="E15" s="74">
        <v>19.29</v>
      </c>
      <c r="F15" s="128">
        <f t="shared" si="1"/>
        <v>5.7869999999999996E-3</v>
      </c>
    </row>
    <row r="16" spans="1:8" ht="16.5" x14ac:dyDescent="0.2">
      <c r="A16" s="61">
        <v>92716</v>
      </c>
      <c r="B16" s="3" t="s">
        <v>129</v>
      </c>
      <c r="C16" s="4" t="s">
        <v>131</v>
      </c>
      <c r="D16" s="79">
        <v>0.04</v>
      </c>
      <c r="E16" s="74">
        <v>133.47</v>
      </c>
      <c r="F16" s="128">
        <f t="shared" si="1"/>
        <v>5.3388</v>
      </c>
    </row>
    <row r="17" spans="1:10" ht="8.25" customHeight="1" x14ac:dyDescent="0.2">
      <c r="A17" s="318" t="s">
        <v>11</v>
      </c>
      <c r="B17" s="319"/>
      <c r="C17" s="319"/>
      <c r="D17" s="319"/>
      <c r="E17" s="319"/>
      <c r="F17" s="320"/>
      <c r="J17" s="46"/>
    </row>
    <row r="18" spans="1:10" x14ac:dyDescent="0.2">
      <c r="A18" s="61">
        <v>88315</v>
      </c>
      <c r="B18" s="3" t="s">
        <v>132</v>
      </c>
      <c r="C18" s="4" t="s">
        <v>75</v>
      </c>
      <c r="D18" s="78">
        <v>0.02</v>
      </c>
      <c r="E18" s="74">
        <v>24.14</v>
      </c>
      <c r="F18" s="127">
        <f>E18*D18</f>
        <v>0.48280000000000001</v>
      </c>
      <c r="G18" s="7"/>
    </row>
    <row r="19" spans="1:10" x14ac:dyDescent="0.2">
      <c r="A19" s="61">
        <v>88251</v>
      </c>
      <c r="B19" s="3" t="s">
        <v>133</v>
      </c>
      <c r="C19" s="4" t="s">
        <v>75</v>
      </c>
      <c r="D19" s="78">
        <v>0.02</v>
      </c>
      <c r="E19" s="74">
        <v>20.45</v>
      </c>
      <c r="F19" s="127">
        <f t="shared" ref="F19:F23" si="2">E19*D19</f>
        <v>0.40899999999999997</v>
      </c>
      <c r="G19" s="7"/>
    </row>
    <row r="20" spans="1:10" x14ac:dyDescent="0.2">
      <c r="A20" s="61">
        <v>88310</v>
      </c>
      <c r="B20" s="3" t="s">
        <v>134</v>
      </c>
      <c r="C20" s="4" t="s">
        <v>75</v>
      </c>
      <c r="D20" s="78">
        <v>3.0000000000000001E-3</v>
      </c>
      <c r="E20" s="74">
        <v>25.56</v>
      </c>
      <c r="F20" s="127">
        <f t="shared" si="2"/>
        <v>7.6679999999999998E-2</v>
      </c>
      <c r="G20" s="7"/>
    </row>
    <row r="21" spans="1:10" x14ac:dyDescent="0.2">
      <c r="A21" s="61">
        <v>100301</v>
      </c>
      <c r="B21" s="3" t="s">
        <v>135</v>
      </c>
      <c r="C21" s="4" t="s">
        <v>75</v>
      </c>
      <c r="D21" s="78">
        <v>3.0000000000000001E-3</v>
      </c>
      <c r="E21" s="74">
        <v>21.85</v>
      </c>
      <c r="F21" s="127">
        <f t="shared" si="2"/>
        <v>6.5550000000000011E-2</v>
      </c>
      <c r="G21" s="7"/>
      <c r="I21" s="46"/>
    </row>
    <row r="22" spans="1:10" x14ac:dyDescent="0.2">
      <c r="A22" s="61">
        <v>88240</v>
      </c>
      <c r="B22" s="3" t="s">
        <v>136</v>
      </c>
      <c r="C22" s="4" t="s">
        <v>75</v>
      </c>
      <c r="D22" s="78">
        <v>0.04</v>
      </c>
      <c r="E22" s="74">
        <v>14.12</v>
      </c>
      <c r="F22" s="127">
        <f t="shared" si="2"/>
        <v>0.56479999999999997</v>
      </c>
      <c r="G22" s="7"/>
    </row>
    <row r="23" spans="1:10" x14ac:dyDescent="0.2">
      <c r="A23" s="61">
        <v>88317</v>
      </c>
      <c r="B23" s="3" t="s">
        <v>137</v>
      </c>
      <c r="C23" s="4" t="s">
        <v>75</v>
      </c>
      <c r="D23" s="78">
        <v>0.04</v>
      </c>
      <c r="E23" s="74">
        <v>24.98</v>
      </c>
      <c r="F23" s="127">
        <f t="shared" si="2"/>
        <v>0.99920000000000009</v>
      </c>
      <c r="G23" s="7"/>
    </row>
    <row r="24" spans="1:10" ht="8.25" customHeight="1" x14ac:dyDescent="0.2">
      <c r="A24" s="321"/>
      <c r="B24" s="322"/>
      <c r="C24" s="322"/>
      <c r="D24" s="323"/>
      <c r="E24" s="44" t="s">
        <v>15</v>
      </c>
      <c r="F24" s="64">
        <f>SUM(F11:F23)</f>
        <v>19.203002000000005</v>
      </c>
    </row>
    <row r="25" spans="1:10" ht="10.5" customHeight="1" x14ac:dyDescent="0.2">
      <c r="A25" s="354" t="s">
        <v>77</v>
      </c>
      <c r="B25" s="355"/>
      <c r="C25" s="355"/>
      <c r="D25" s="355"/>
      <c r="E25" s="355"/>
      <c r="F25" s="356"/>
    </row>
    <row r="26" spans="1:10" ht="14.25" customHeight="1" x14ac:dyDescent="0.2">
      <c r="A26" s="357" t="s">
        <v>78</v>
      </c>
      <c r="B26" s="358"/>
      <c r="C26" s="358"/>
      <c r="D26" s="358"/>
      <c r="E26" s="358"/>
      <c r="F26" s="359"/>
    </row>
    <row r="27" spans="1:10" ht="8.25" customHeight="1" x14ac:dyDescent="0.2">
      <c r="A27" s="347" t="s">
        <v>125</v>
      </c>
      <c r="B27" s="350"/>
      <c r="C27" s="350"/>
      <c r="D27" s="350"/>
      <c r="E27" s="350"/>
      <c r="F27" s="351"/>
    </row>
    <row r="28" spans="1:10" ht="13.5" thickBot="1" x14ac:dyDescent="0.25">
      <c r="A28" s="75"/>
      <c r="B28" s="76"/>
      <c r="C28" s="76"/>
      <c r="D28" s="76"/>
      <c r="E28" s="76"/>
      <c r="F28" s="77"/>
    </row>
    <row r="29" spans="1:10" ht="9.6" customHeight="1" x14ac:dyDescent="0.2"/>
  </sheetData>
  <mergeCells count="16">
    <mergeCell ref="A4:F4"/>
    <mergeCell ref="A1:F1"/>
    <mergeCell ref="A2:A3"/>
    <mergeCell ref="B2:B3"/>
    <mergeCell ref="C2:D2"/>
    <mergeCell ref="E2:F3"/>
    <mergeCell ref="A25:F25"/>
    <mergeCell ref="A26:F26"/>
    <mergeCell ref="A27:F27"/>
    <mergeCell ref="A10:F10"/>
    <mergeCell ref="B5:E5"/>
    <mergeCell ref="B6:E6"/>
    <mergeCell ref="A7:F7"/>
    <mergeCell ref="B8:E8"/>
    <mergeCell ref="A17:F17"/>
    <mergeCell ref="A24:D24"/>
  </mergeCells>
  <pageMargins left="0.25" right="0.25" top="0.75" bottom="0.75" header="0.3" footer="0.3"/>
  <pageSetup paperSize="9" scale="7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5A8B-684B-4B9E-A9DF-7CFD83A511B4}">
  <sheetPr>
    <tabColor rgb="FF92D050"/>
    <pageSetUpPr fitToPage="1"/>
  </sheetPr>
  <dimension ref="A1:H20"/>
  <sheetViews>
    <sheetView zoomScale="130" zoomScaleNormal="130" workbookViewId="0">
      <selection sqref="A1:F29"/>
    </sheetView>
  </sheetViews>
  <sheetFormatPr defaultRowHeight="12.75" x14ac:dyDescent="0.2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2.1640625" customWidth="1"/>
  </cols>
  <sheetData>
    <row r="1" spans="1:8" ht="5.25" customHeight="1" x14ac:dyDescent="0.2">
      <c r="A1" s="324"/>
      <c r="B1" s="325"/>
      <c r="C1" s="325"/>
      <c r="D1" s="325"/>
      <c r="E1" s="325"/>
      <c r="F1" s="326"/>
    </row>
    <row r="2" spans="1:8" ht="33" customHeight="1" x14ac:dyDescent="0.2">
      <c r="A2" s="327"/>
      <c r="B2" s="329" t="s">
        <v>66</v>
      </c>
      <c r="C2" s="365" t="s">
        <v>197</v>
      </c>
      <c r="D2" s="366"/>
      <c r="E2" s="243"/>
      <c r="F2" s="244"/>
    </row>
    <row r="3" spans="1:8" ht="17.25" customHeight="1" thickBot="1" x14ac:dyDescent="0.25">
      <c r="A3" s="328"/>
      <c r="B3" s="330"/>
      <c r="C3" s="71" t="s">
        <v>70</v>
      </c>
      <c r="D3" s="72">
        <f>[1]BDI!E4</f>
        <v>0.23535496426352442</v>
      </c>
      <c r="E3" s="333"/>
      <c r="F3" s="334"/>
    </row>
    <row r="4" spans="1:8" ht="17.25" customHeight="1" thickBot="1" x14ac:dyDescent="0.25">
      <c r="A4" s="289" t="s">
        <v>61</v>
      </c>
      <c r="B4" s="290"/>
      <c r="C4" s="290"/>
      <c r="D4" s="290"/>
      <c r="E4" s="290"/>
      <c r="F4" s="291"/>
      <c r="G4" s="38"/>
      <c r="H4" s="38"/>
    </row>
    <row r="5" spans="1:8" x14ac:dyDescent="0.2">
      <c r="A5" s="42" t="s">
        <v>3</v>
      </c>
      <c r="B5" s="262" t="s">
        <v>229</v>
      </c>
      <c r="C5" s="262"/>
      <c r="D5" s="262"/>
      <c r="E5" s="262"/>
      <c r="F5" s="15" t="s">
        <v>67</v>
      </c>
    </row>
    <row r="6" spans="1:8" ht="13.5" thickBot="1" x14ac:dyDescent="0.25">
      <c r="A6" s="43" t="s">
        <v>57</v>
      </c>
      <c r="B6" s="338" t="s">
        <v>228</v>
      </c>
      <c r="C6" s="338"/>
      <c r="D6" s="338"/>
      <c r="E6" s="338"/>
      <c r="F6" s="16">
        <f ca="1">TODAY()</f>
        <v>45098</v>
      </c>
    </row>
    <row r="7" spans="1:8" ht="12.75" customHeight="1" x14ac:dyDescent="0.2">
      <c r="A7" s="312" t="s">
        <v>104</v>
      </c>
      <c r="B7" s="313"/>
      <c r="C7" s="313"/>
      <c r="D7" s="313"/>
      <c r="E7" s="313"/>
      <c r="F7" s="314"/>
      <c r="G7" s="41"/>
      <c r="H7" s="41"/>
    </row>
    <row r="8" spans="1:8" x14ac:dyDescent="0.2">
      <c r="A8" s="73" t="s">
        <v>50</v>
      </c>
      <c r="B8" s="315" t="s">
        <v>82</v>
      </c>
      <c r="C8" s="316"/>
      <c r="D8" s="316"/>
      <c r="E8" s="317"/>
      <c r="F8" s="58" t="s">
        <v>5</v>
      </c>
    </row>
    <row r="9" spans="1:8" ht="16.5" x14ac:dyDescent="0.2">
      <c r="A9" s="59" t="s">
        <v>6</v>
      </c>
      <c r="B9" s="45" t="s">
        <v>7</v>
      </c>
      <c r="C9" s="45" t="s">
        <v>5</v>
      </c>
      <c r="D9" s="45" t="s">
        <v>8</v>
      </c>
      <c r="E9" s="45" t="s">
        <v>9</v>
      </c>
      <c r="F9" s="60" t="s">
        <v>74</v>
      </c>
    </row>
    <row r="10" spans="1:8" x14ac:dyDescent="0.2">
      <c r="A10" s="318" t="s">
        <v>83</v>
      </c>
      <c r="B10" s="319"/>
      <c r="C10" s="319"/>
      <c r="D10" s="319"/>
      <c r="E10" s="319"/>
      <c r="F10" s="320"/>
    </row>
    <row r="11" spans="1:8" ht="24.75" x14ac:dyDescent="0.2">
      <c r="A11" s="61">
        <v>89272</v>
      </c>
      <c r="B11" s="3" t="s">
        <v>138</v>
      </c>
      <c r="C11" s="4" t="s">
        <v>131</v>
      </c>
      <c r="D11" s="79">
        <v>0.01</v>
      </c>
      <c r="E11" s="74">
        <v>193.68</v>
      </c>
      <c r="F11" s="62">
        <f>E11*D11</f>
        <v>1.9368000000000001</v>
      </c>
    </row>
    <row r="12" spans="1:8" x14ac:dyDescent="0.2">
      <c r="A12" s="318" t="s">
        <v>11</v>
      </c>
      <c r="B12" s="319"/>
      <c r="C12" s="319"/>
      <c r="D12" s="319"/>
      <c r="E12" s="319"/>
      <c r="F12" s="320"/>
      <c r="H12" s="46" t="s">
        <v>196</v>
      </c>
    </row>
    <row r="13" spans="1:8" x14ac:dyDescent="0.2">
      <c r="A13" s="61">
        <v>88278</v>
      </c>
      <c r="B13" s="3" t="s">
        <v>139</v>
      </c>
      <c r="C13" s="4" t="s">
        <v>75</v>
      </c>
      <c r="D13" s="78">
        <v>0.02</v>
      </c>
      <c r="E13" s="74">
        <v>17.420000000000002</v>
      </c>
      <c r="F13" s="62">
        <f>E13*D13</f>
        <v>0.34840000000000004</v>
      </c>
      <c r="G13" s="7"/>
    </row>
    <row r="14" spans="1:8" x14ac:dyDescent="0.2">
      <c r="A14" s="61">
        <v>88240</v>
      </c>
      <c r="B14" s="3" t="s">
        <v>136</v>
      </c>
      <c r="C14" s="4" t="s">
        <v>75</v>
      </c>
      <c r="D14" s="78">
        <v>0.06</v>
      </c>
      <c r="E14" s="74">
        <v>14.12</v>
      </c>
      <c r="F14" s="62">
        <f t="shared" ref="F14" si="0">E14*D14</f>
        <v>0.84719999999999995</v>
      </c>
      <c r="G14" s="7"/>
    </row>
    <row r="15" spans="1:8" ht="8.25" customHeight="1" x14ac:dyDescent="0.2">
      <c r="A15" s="321"/>
      <c r="B15" s="322"/>
      <c r="C15" s="322"/>
      <c r="D15" s="323"/>
      <c r="E15" s="44" t="s">
        <v>15</v>
      </c>
      <c r="F15" s="64">
        <f>SUM(F11:F14)</f>
        <v>3.1324000000000001</v>
      </c>
    </row>
    <row r="16" spans="1:8" ht="10.5" customHeight="1" x14ac:dyDescent="0.2">
      <c r="A16" s="354" t="s">
        <v>77</v>
      </c>
      <c r="B16" s="355"/>
      <c r="C16" s="355"/>
      <c r="D16" s="355"/>
      <c r="E16" s="355"/>
      <c r="F16" s="356"/>
    </row>
    <row r="17" spans="1:6" ht="14.25" customHeight="1" x14ac:dyDescent="0.2">
      <c r="A17" s="357" t="s">
        <v>78</v>
      </c>
      <c r="B17" s="358"/>
      <c r="C17" s="358"/>
      <c r="D17" s="358"/>
      <c r="E17" s="358"/>
      <c r="F17" s="359"/>
    </row>
    <row r="18" spans="1:6" ht="8.25" customHeight="1" x14ac:dyDescent="0.2">
      <c r="A18" s="347" t="s">
        <v>125</v>
      </c>
      <c r="B18" s="350"/>
      <c r="C18" s="350"/>
      <c r="D18" s="350"/>
      <c r="E18" s="350"/>
      <c r="F18" s="351"/>
    </row>
    <row r="19" spans="1:6" ht="13.5" thickBot="1" x14ac:dyDescent="0.25">
      <c r="A19" s="75"/>
      <c r="B19" s="76"/>
      <c r="C19" s="76"/>
      <c r="D19" s="76"/>
      <c r="E19" s="76"/>
      <c r="F19" s="77"/>
    </row>
    <row r="20" spans="1:6" ht="9.6" customHeight="1" x14ac:dyDescent="0.2"/>
  </sheetData>
  <mergeCells count="16">
    <mergeCell ref="A4:F4"/>
    <mergeCell ref="A1:F1"/>
    <mergeCell ref="A2:A3"/>
    <mergeCell ref="B2:B3"/>
    <mergeCell ref="C2:D2"/>
    <mergeCell ref="E2:F3"/>
    <mergeCell ref="A15:D15"/>
    <mergeCell ref="A16:F16"/>
    <mergeCell ref="A17:F17"/>
    <mergeCell ref="A18:F18"/>
    <mergeCell ref="B5:E5"/>
    <mergeCell ref="B6:E6"/>
    <mergeCell ref="A7:F7"/>
    <mergeCell ref="B8:E8"/>
    <mergeCell ref="A10:F10"/>
    <mergeCell ref="A12:F12"/>
  </mergeCells>
  <pageMargins left="0.25" right="0.25" top="0.75" bottom="0.75" header="0.3" footer="0.3"/>
  <pageSetup paperSize="9" scale="7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R39"/>
  <sheetViews>
    <sheetView topLeftCell="A11" zoomScale="130" zoomScaleNormal="130" workbookViewId="0">
      <selection activeCell="J27" sqref="J27"/>
    </sheetView>
  </sheetViews>
  <sheetFormatPr defaultRowHeight="12.75" x14ac:dyDescent="0.2"/>
  <cols>
    <col min="1" max="1" width="8.1640625" customWidth="1"/>
    <col min="2" max="2" width="9.5" customWidth="1"/>
    <col min="3" max="3" width="52.33203125" customWidth="1"/>
    <col min="4" max="4" width="12.83203125" customWidth="1"/>
    <col min="5" max="5" width="7.83203125" customWidth="1"/>
    <col min="6" max="6" width="7" customWidth="1"/>
    <col min="7" max="8" width="9.1640625" customWidth="1"/>
    <col min="12" max="12" width="10.83203125" customWidth="1"/>
    <col min="13" max="13" width="7.33203125" bestFit="1" customWidth="1"/>
    <col min="14" max="14" width="10.1640625" bestFit="1" customWidth="1"/>
    <col min="17" max="17" width="16.83203125" customWidth="1"/>
    <col min="18" max="18" width="18" customWidth="1"/>
  </cols>
  <sheetData>
    <row r="1" spans="1:18" ht="7.5" customHeight="1" thickBot="1" x14ac:dyDescent="0.25">
      <c r="A1" s="232"/>
      <c r="B1" s="233"/>
      <c r="C1" s="233"/>
      <c r="D1" s="233"/>
      <c r="E1" s="233"/>
      <c r="F1" s="233"/>
      <c r="G1" s="233"/>
      <c r="H1" s="234"/>
    </row>
    <row r="2" spans="1:18" ht="30" customHeight="1" x14ac:dyDescent="0.2">
      <c r="A2" s="235"/>
      <c r="B2" s="236"/>
      <c r="C2" s="405" t="s">
        <v>66</v>
      </c>
      <c r="D2" s="408" t="s">
        <v>197</v>
      </c>
      <c r="E2" s="409"/>
      <c r="F2" s="410"/>
      <c r="G2" s="243"/>
      <c r="H2" s="244"/>
    </row>
    <row r="3" spans="1:18" x14ac:dyDescent="0.2">
      <c r="A3" s="235"/>
      <c r="B3" s="236"/>
      <c r="C3" s="406"/>
      <c r="D3" s="245" t="s">
        <v>1</v>
      </c>
      <c r="E3" s="246"/>
      <c r="F3" s="247"/>
      <c r="G3" s="243"/>
      <c r="H3" s="244"/>
    </row>
    <row r="4" spans="1:18" ht="16.5" customHeight="1" thickBot="1" x14ac:dyDescent="0.25">
      <c r="A4" s="235"/>
      <c r="B4" s="236"/>
      <c r="C4" s="407"/>
      <c r="D4" s="83" t="s">
        <v>2</v>
      </c>
      <c r="E4" s="411">
        <f>F27</f>
        <v>0.23535496426352442</v>
      </c>
      <c r="F4" s="412"/>
      <c r="G4" s="243"/>
      <c r="H4" s="244"/>
    </row>
    <row r="5" spans="1:18" ht="9.75" customHeight="1" thickBot="1" x14ac:dyDescent="0.25">
      <c r="A5" s="362" t="s">
        <v>61</v>
      </c>
      <c r="B5" s="363"/>
      <c r="C5" s="363"/>
      <c r="D5" s="363"/>
      <c r="E5" s="363"/>
      <c r="F5" s="363"/>
      <c r="G5" s="363"/>
      <c r="H5" s="364"/>
    </row>
    <row r="6" spans="1:18" ht="26.25" customHeight="1" x14ac:dyDescent="0.2">
      <c r="A6" s="22" t="s">
        <v>3</v>
      </c>
      <c r="B6" s="262" t="s">
        <v>229</v>
      </c>
      <c r="C6" s="262"/>
      <c r="D6" s="262"/>
      <c r="E6" s="262"/>
      <c r="F6" s="262"/>
      <c r="G6" s="262"/>
      <c r="H6" s="15" t="s">
        <v>67</v>
      </c>
    </row>
    <row r="7" spans="1:18" ht="24.75" customHeight="1" thickBot="1" x14ac:dyDescent="0.25">
      <c r="A7" s="22" t="s">
        <v>57</v>
      </c>
      <c r="B7" s="338" t="s">
        <v>230</v>
      </c>
      <c r="C7" s="338"/>
      <c r="D7" s="338"/>
      <c r="E7" s="338"/>
      <c r="F7" s="338"/>
      <c r="G7" s="338"/>
      <c r="H7" s="16">
        <f ca="1">TODAY()</f>
        <v>45098</v>
      </c>
    </row>
    <row r="8" spans="1:18" ht="13.5" customHeight="1" thickBot="1" x14ac:dyDescent="0.25">
      <c r="A8" s="217" t="s">
        <v>70</v>
      </c>
      <c r="B8" s="218"/>
      <c r="C8" s="218"/>
      <c r="D8" s="218"/>
      <c r="E8" s="218"/>
      <c r="F8" s="218"/>
      <c r="G8" s="218"/>
      <c r="H8" s="219"/>
    </row>
    <row r="9" spans="1:18" ht="12.75" customHeight="1" thickBot="1" x14ac:dyDescent="0.25">
      <c r="A9" s="398" t="s">
        <v>20</v>
      </c>
      <c r="B9" s="400" t="s">
        <v>21</v>
      </c>
      <c r="C9" s="215"/>
      <c r="D9" s="215"/>
      <c r="E9" s="401"/>
      <c r="F9" s="400" t="s">
        <v>22</v>
      </c>
      <c r="G9" s="215"/>
      <c r="H9" s="401"/>
    </row>
    <row r="10" spans="1:18" ht="13.5" customHeight="1" thickBot="1" x14ac:dyDescent="0.25">
      <c r="A10" s="399"/>
      <c r="B10" s="402"/>
      <c r="C10" s="403"/>
      <c r="D10" s="403"/>
      <c r="E10" s="404"/>
      <c r="F10" s="402" t="s">
        <v>23</v>
      </c>
      <c r="G10" s="403"/>
      <c r="H10" s="404"/>
      <c r="L10" s="413" t="s">
        <v>86</v>
      </c>
      <c r="M10" s="414"/>
      <c r="N10" s="415"/>
      <c r="O10" s="84"/>
      <c r="P10" s="416" t="s">
        <v>87</v>
      </c>
      <c r="Q10" s="417"/>
      <c r="R10" s="418"/>
    </row>
    <row r="11" spans="1:18" ht="8.25" customHeight="1" x14ac:dyDescent="0.2">
      <c r="A11" s="36">
        <v>1</v>
      </c>
      <c r="B11" s="423" t="s">
        <v>24</v>
      </c>
      <c r="C11" s="424"/>
      <c r="D11" s="424"/>
      <c r="E11" s="424"/>
      <c r="F11" s="389">
        <f>SUM(F12:H15)</f>
        <v>7.3000000000000007</v>
      </c>
      <c r="G11" s="389"/>
      <c r="H11" s="390"/>
      <c r="I11" s="85">
        <f>1+F12/100+F14/100+F13/100</f>
        <v>1.0607</v>
      </c>
      <c r="L11" s="86" t="s">
        <v>88</v>
      </c>
      <c r="M11" s="87" t="s">
        <v>89</v>
      </c>
      <c r="N11" s="88" t="s">
        <v>90</v>
      </c>
      <c r="O11" s="84"/>
      <c r="P11" s="89" t="s">
        <v>91</v>
      </c>
      <c r="Q11" s="90"/>
      <c r="R11" s="91">
        <v>0.28349999999999997</v>
      </c>
    </row>
    <row r="12" spans="1:18" ht="8.25" customHeight="1" x14ac:dyDescent="0.2">
      <c r="A12" s="92" t="s">
        <v>25</v>
      </c>
      <c r="B12" s="391" t="s">
        <v>26</v>
      </c>
      <c r="C12" s="392"/>
      <c r="D12" s="392"/>
      <c r="E12" s="392"/>
      <c r="F12" s="387">
        <v>4</v>
      </c>
      <c r="G12" s="387"/>
      <c r="H12" s="388"/>
      <c r="I12" s="85">
        <f>1+F18/100</f>
        <v>1.0740000000000001</v>
      </c>
      <c r="L12" s="93">
        <v>0.03</v>
      </c>
      <c r="M12" s="94">
        <v>0.04</v>
      </c>
      <c r="N12" s="95">
        <v>5.5E-2</v>
      </c>
      <c r="O12" s="84"/>
      <c r="P12" s="89" t="s">
        <v>92</v>
      </c>
      <c r="Q12" s="90"/>
      <c r="R12" s="91">
        <v>0.2223</v>
      </c>
    </row>
    <row r="13" spans="1:18" ht="14.25" customHeight="1" thickBot="1" x14ac:dyDescent="0.25">
      <c r="A13" s="92" t="s">
        <v>27</v>
      </c>
      <c r="B13" s="391" t="s">
        <v>28</v>
      </c>
      <c r="C13" s="392"/>
      <c r="D13" s="392"/>
      <c r="E13" s="392"/>
      <c r="F13" s="387">
        <v>0.8</v>
      </c>
      <c r="G13" s="387"/>
      <c r="H13" s="388"/>
      <c r="I13" s="85">
        <f>1+F15/100</f>
        <v>1.0123</v>
      </c>
      <c r="L13" s="93">
        <v>8.0000000000000002E-3</v>
      </c>
      <c r="M13" s="94">
        <v>8.0000000000000002E-3</v>
      </c>
      <c r="N13" s="95">
        <v>0.01</v>
      </c>
      <c r="O13" s="84"/>
      <c r="P13" s="96" t="s">
        <v>93</v>
      </c>
      <c r="Q13" s="97"/>
      <c r="R13" s="98"/>
    </row>
    <row r="14" spans="1:18" ht="8.25" customHeight="1" thickBot="1" x14ac:dyDescent="0.25">
      <c r="A14" s="92" t="s">
        <v>29</v>
      </c>
      <c r="B14" s="391" t="s">
        <v>30</v>
      </c>
      <c r="C14" s="392"/>
      <c r="D14" s="392"/>
      <c r="E14" s="392"/>
      <c r="F14" s="387">
        <v>1.27</v>
      </c>
      <c r="G14" s="387"/>
      <c r="H14" s="388"/>
      <c r="I14" s="85">
        <f>1-F20/100</f>
        <v>0.9335</v>
      </c>
      <c r="L14" s="93">
        <v>9.7000000000000003E-3</v>
      </c>
      <c r="M14" s="94">
        <v>1.2699999999999999E-2</v>
      </c>
      <c r="N14" s="95">
        <v>1.2699999999999999E-2</v>
      </c>
      <c r="O14" s="84"/>
      <c r="P14" s="96" t="s">
        <v>94</v>
      </c>
      <c r="Q14" s="97"/>
      <c r="R14" s="98"/>
    </row>
    <row r="15" spans="1:18" ht="8.25" customHeight="1" thickBot="1" x14ac:dyDescent="0.25">
      <c r="A15" s="92" t="s">
        <v>31</v>
      </c>
      <c r="B15" s="391" t="s">
        <v>32</v>
      </c>
      <c r="C15" s="392"/>
      <c r="D15" s="392"/>
      <c r="E15" s="392"/>
      <c r="F15" s="387">
        <v>1.23</v>
      </c>
      <c r="G15" s="387"/>
      <c r="H15" s="388"/>
      <c r="I15" s="85">
        <f>I11*I12*I13/I14</f>
        <v>1.2353549642635244</v>
      </c>
      <c r="L15" s="99">
        <v>5.8999999999999999E-3</v>
      </c>
      <c r="M15" s="100">
        <v>1.23E-2</v>
      </c>
      <c r="N15" s="101">
        <v>1.3899999999999999E-2</v>
      </c>
      <c r="O15" s="84"/>
      <c r="P15" s="84"/>
      <c r="Q15" s="84"/>
      <c r="R15" s="84"/>
    </row>
    <row r="16" spans="1:18" ht="8.1" customHeight="1" x14ac:dyDescent="0.2">
      <c r="A16" s="393"/>
      <c r="B16" s="394"/>
      <c r="C16" s="394"/>
      <c r="D16" s="394"/>
      <c r="E16" s="394"/>
      <c r="F16" s="394"/>
      <c r="G16" s="394"/>
      <c r="H16" s="395"/>
      <c r="I16" s="102">
        <f>I15-1</f>
        <v>0.23535496426352442</v>
      </c>
      <c r="L16" s="84"/>
      <c r="M16" s="84"/>
      <c r="N16" s="84"/>
      <c r="O16" s="84"/>
      <c r="P16" s="416" t="s">
        <v>95</v>
      </c>
      <c r="Q16" s="417"/>
      <c r="R16" s="418"/>
    </row>
    <row r="17" spans="1:18" ht="8.25" customHeight="1" thickBot="1" x14ac:dyDescent="0.25">
      <c r="A17" s="37" t="s">
        <v>33</v>
      </c>
      <c r="B17" s="396" t="s">
        <v>34</v>
      </c>
      <c r="C17" s="397"/>
      <c r="D17" s="397"/>
      <c r="E17" s="397"/>
      <c r="F17" s="389">
        <f>SUM(F18)</f>
        <v>7.4</v>
      </c>
      <c r="G17" s="389"/>
      <c r="H17" s="390"/>
      <c r="L17" s="84"/>
      <c r="M17" s="84"/>
      <c r="N17" s="84"/>
      <c r="O17" s="84"/>
      <c r="P17" s="89" t="s">
        <v>91</v>
      </c>
      <c r="Q17" s="90"/>
      <c r="R17" s="91">
        <v>0.26369999999999999</v>
      </c>
    </row>
    <row r="18" spans="1:18" ht="8.25" customHeight="1" thickBot="1" x14ac:dyDescent="0.25">
      <c r="A18" s="92" t="s">
        <v>35</v>
      </c>
      <c r="B18" s="391" t="s">
        <v>36</v>
      </c>
      <c r="C18" s="392"/>
      <c r="D18" s="392"/>
      <c r="E18" s="392"/>
      <c r="F18" s="387">
        <v>7.4</v>
      </c>
      <c r="G18" s="387"/>
      <c r="H18" s="388"/>
      <c r="L18" s="103">
        <v>6.1600000000000002E-2</v>
      </c>
      <c r="M18" s="104">
        <v>7.400000000000001E-2</v>
      </c>
      <c r="N18" s="105">
        <v>8.9600000000000013E-2</v>
      </c>
      <c r="O18" s="84"/>
      <c r="P18" s="89" t="s">
        <v>92</v>
      </c>
      <c r="Q18" s="90"/>
      <c r="R18" s="91">
        <v>0.20349999999999999</v>
      </c>
    </row>
    <row r="19" spans="1:18" ht="8.1" customHeight="1" thickBot="1" x14ac:dyDescent="0.25">
      <c r="A19" s="393"/>
      <c r="B19" s="394"/>
      <c r="C19" s="394"/>
      <c r="D19" s="394"/>
      <c r="E19" s="394"/>
      <c r="F19" s="394"/>
      <c r="G19" s="394"/>
      <c r="H19" s="395"/>
      <c r="L19" s="84"/>
      <c r="M19" s="84"/>
      <c r="N19" s="84"/>
      <c r="O19" s="84"/>
      <c r="P19" s="96" t="s">
        <v>93</v>
      </c>
      <c r="Q19" s="97"/>
      <c r="R19" s="98"/>
    </row>
    <row r="20" spans="1:18" ht="8.25" customHeight="1" thickBot="1" x14ac:dyDescent="0.25">
      <c r="A20" s="37" t="s">
        <v>37</v>
      </c>
      <c r="B20" s="396" t="s">
        <v>38</v>
      </c>
      <c r="C20" s="397"/>
      <c r="D20" s="397"/>
      <c r="E20" s="397"/>
      <c r="F20" s="389">
        <f>SUM(F21:H24)</f>
        <v>6.65</v>
      </c>
      <c r="G20" s="389"/>
      <c r="H20" s="390"/>
      <c r="L20" s="84"/>
      <c r="M20" s="84"/>
      <c r="N20" s="84"/>
      <c r="O20" s="84"/>
      <c r="P20" s="96" t="s">
        <v>94</v>
      </c>
      <c r="Q20" s="97"/>
      <c r="R20" s="98"/>
    </row>
    <row r="21" spans="1:18" ht="8.25" customHeight="1" x14ac:dyDescent="0.2">
      <c r="A21" s="92" t="s">
        <v>39</v>
      </c>
      <c r="B21" s="385" t="s">
        <v>40</v>
      </c>
      <c r="C21" s="386"/>
      <c r="D21" s="386"/>
      <c r="E21" s="386"/>
      <c r="F21" s="387">
        <f>5*0.6</f>
        <v>3</v>
      </c>
      <c r="G21" s="387"/>
      <c r="H21" s="388"/>
    </row>
    <row r="22" spans="1:18" ht="8.25" customHeight="1" x14ac:dyDescent="0.2">
      <c r="A22" s="92" t="s">
        <v>41</v>
      </c>
      <c r="B22" s="385" t="s">
        <v>42</v>
      </c>
      <c r="C22" s="386"/>
      <c r="D22" s="386"/>
      <c r="E22" s="386"/>
      <c r="F22" s="387">
        <v>3</v>
      </c>
      <c r="G22" s="387"/>
      <c r="H22" s="388"/>
    </row>
    <row r="23" spans="1:18" ht="8.25" customHeight="1" x14ac:dyDescent="0.2">
      <c r="A23" s="92" t="s">
        <v>43</v>
      </c>
      <c r="B23" s="385" t="s">
        <v>44</v>
      </c>
      <c r="C23" s="386"/>
      <c r="D23" s="386"/>
      <c r="E23" s="386"/>
      <c r="F23" s="387">
        <v>0.65</v>
      </c>
      <c r="G23" s="387"/>
      <c r="H23" s="388"/>
    </row>
    <row r="24" spans="1:18" ht="8.25" customHeight="1" x14ac:dyDescent="0.2">
      <c r="A24" s="92" t="s">
        <v>45</v>
      </c>
      <c r="B24" s="385" t="s">
        <v>46</v>
      </c>
      <c r="C24" s="386"/>
      <c r="D24" s="386"/>
      <c r="E24" s="386"/>
      <c r="F24" s="387">
        <v>0</v>
      </c>
      <c r="G24" s="387"/>
      <c r="H24" s="388"/>
    </row>
    <row r="25" spans="1:18" ht="9.6" customHeight="1" x14ac:dyDescent="0.2">
      <c r="A25" s="374" t="s">
        <v>96</v>
      </c>
      <c r="B25" s="263"/>
      <c r="C25" s="263"/>
      <c r="D25" s="263"/>
      <c r="E25" s="263"/>
      <c r="F25" s="263"/>
      <c r="G25" s="263"/>
      <c r="H25" s="375"/>
    </row>
    <row r="26" spans="1:18" ht="12" customHeight="1" thickBot="1" x14ac:dyDescent="0.25">
      <c r="A26" s="374" t="s">
        <v>47</v>
      </c>
      <c r="B26" s="263"/>
      <c r="C26" s="263"/>
      <c r="D26" s="263"/>
      <c r="E26" s="263"/>
      <c r="F26" s="263"/>
      <c r="G26" s="263"/>
      <c r="H26" s="375"/>
    </row>
    <row r="27" spans="1:18" ht="20.25" customHeight="1" thickBot="1" x14ac:dyDescent="0.25">
      <c r="A27" s="372" t="s">
        <v>71</v>
      </c>
      <c r="B27" s="373"/>
      <c r="C27" s="373"/>
      <c r="D27" s="373"/>
      <c r="E27" s="373"/>
      <c r="F27" s="376">
        <f>I16</f>
        <v>0.23535496426352442</v>
      </c>
      <c r="G27" s="377"/>
      <c r="H27" s="378"/>
    </row>
    <row r="28" spans="1:18" ht="8.25" customHeight="1" x14ac:dyDescent="0.2">
      <c r="A28" s="379"/>
      <c r="B28" s="380"/>
      <c r="C28" s="380"/>
      <c r="D28" s="380"/>
      <c r="E28" s="380"/>
      <c r="F28" s="380"/>
      <c r="G28" s="380"/>
      <c r="H28" s="381"/>
    </row>
    <row r="29" spans="1:18" ht="8.25" customHeight="1" x14ac:dyDescent="0.2">
      <c r="A29" s="379" t="s">
        <v>48</v>
      </c>
      <c r="B29" s="380"/>
      <c r="C29" s="380"/>
      <c r="D29" s="380"/>
      <c r="E29" s="380"/>
      <c r="F29" s="380"/>
      <c r="G29" s="380"/>
      <c r="H29" s="381"/>
    </row>
    <row r="30" spans="1:18" ht="8.4499999999999993" customHeight="1" thickBot="1" x14ac:dyDescent="0.25">
      <c r="A30" s="382" t="s">
        <v>49</v>
      </c>
      <c r="B30" s="383"/>
      <c r="C30" s="383"/>
      <c r="D30" s="383"/>
      <c r="E30" s="383"/>
      <c r="F30" s="383"/>
      <c r="G30" s="383"/>
      <c r="H30" s="384"/>
    </row>
    <row r="31" spans="1:18" ht="16.5" customHeight="1" x14ac:dyDescent="0.2">
      <c r="A31" s="106"/>
      <c r="B31" s="107"/>
      <c r="C31" s="108"/>
      <c r="D31" s="108"/>
      <c r="E31" s="108"/>
      <c r="F31" s="108"/>
      <c r="G31" s="108"/>
      <c r="H31" s="109"/>
    </row>
    <row r="32" spans="1:18" ht="8.25" customHeight="1" x14ac:dyDescent="0.2">
      <c r="A32" s="110"/>
      <c r="B32" s="419" t="s">
        <v>97</v>
      </c>
      <c r="C32" s="420" t="s">
        <v>98</v>
      </c>
      <c r="D32" s="420"/>
      <c r="E32" s="420"/>
      <c r="F32" s="420"/>
      <c r="G32" s="421">
        <v>-1</v>
      </c>
      <c r="H32" s="111"/>
    </row>
    <row r="33" spans="1:8" ht="6.6" customHeight="1" x14ac:dyDescent="0.2">
      <c r="A33" s="110"/>
      <c r="B33" s="419"/>
      <c r="C33" s="422" t="s">
        <v>99</v>
      </c>
      <c r="D33" s="422"/>
      <c r="E33" s="422"/>
      <c r="F33" s="422"/>
      <c r="G33" s="421"/>
      <c r="H33" s="111"/>
    </row>
    <row r="34" spans="1:8" ht="8.4499999999999993" customHeight="1" thickBot="1" x14ac:dyDescent="0.25">
      <c r="A34" s="110"/>
      <c r="B34" s="112"/>
      <c r="C34" s="113"/>
      <c r="D34" s="114"/>
      <c r="E34" s="115"/>
      <c r="F34" s="115"/>
      <c r="G34" s="115"/>
      <c r="H34" s="111"/>
    </row>
    <row r="35" spans="1:8" ht="9.6" customHeight="1" thickBot="1" x14ac:dyDescent="0.25">
      <c r="A35" s="110"/>
      <c r="B35" s="367" t="s">
        <v>100</v>
      </c>
      <c r="C35" s="368"/>
      <c r="D35" s="368"/>
      <c r="E35" s="368"/>
      <c r="F35" s="368"/>
      <c r="G35" s="369"/>
      <c r="H35" s="111"/>
    </row>
    <row r="36" spans="1:8" ht="8.4499999999999993" customHeight="1" thickBot="1" x14ac:dyDescent="0.25">
      <c r="A36" s="110"/>
      <c r="B36" s="116">
        <v>0.05</v>
      </c>
      <c r="C36" s="370" t="s">
        <v>101</v>
      </c>
      <c r="D36" s="370"/>
      <c r="E36" s="370"/>
      <c r="F36" s="370"/>
      <c r="G36" s="371"/>
      <c r="H36" s="111"/>
    </row>
    <row r="37" spans="1:8" ht="9.6" customHeight="1" thickBot="1" x14ac:dyDescent="0.25">
      <c r="A37" s="110"/>
      <c r="B37" s="115"/>
      <c r="C37" s="117"/>
      <c r="D37" s="117"/>
      <c r="E37" s="117"/>
      <c r="F37" s="117"/>
      <c r="G37" s="117"/>
      <c r="H37" s="111"/>
    </row>
    <row r="38" spans="1:8" ht="8.25" customHeight="1" thickBot="1" x14ac:dyDescent="0.25">
      <c r="A38" s="110"/>
      <c r="B38" s="118">
        <v>0.6</v>
      </c>
      <c r="C38" s="370" t="s">
        <v>102</v>
      </c>
      <c r="D38" s="370"/>
      <c r="E38" s="370"/>
      <c r="F38" s="370"/>
      <c r="G38" s="371"/>
      <c r="H38" s="111"/>
    </row>
    <row r="39" spans="1:8" ht="48" customHeight="1" thickBot="1" x14ac:dyDescent="0.25">
      <c r="A39" s="119"/>
      <c r="B39" s="120"/>
      <c r="C39" s="121"/>
      <c r="D39" s="122"/>
      <c r="E39" s="122"/>
      <c r="F39" s="122"/>
      <c r="G39" s="122"/>
      <c r="H39" s="123"/>
    </row>
  </sheetData>
  <mergeCells count="58">
    <mergeCell ref="C38:G38"/>
    <mergeCell ref="L10:N10"/>
    <mergeCell ref="P10:R10"/>
    <mergeCell ref="P16:R16"/>
    <mergeCell ref="B32:B33"/>
    <mergeCell ref="C32:F32"/>
    <mergeCell ref="G32:G33"/>
    <mergeCell ref="C33:F33"/>
    <mergeCell ref="A28:H28"/>
    <mergeCell ref="F11:H11"/>
    <mergeCell ref="B11:E11"/>
    <mergeCell ref="B12:E12"/>
    <mergeCell ref="B13:E13"/>
    <mergeCell ref="F13:H13"/>
    <mergeCell ref="F12:H12"/>
    <mergeCell ref="B14:E14"/>
    <mergeCell ref="A1:H1"/>
    <mergeCell ref="A2:B4"/>
    <mergeCell ref="C2:C4"/>
    <mergeCell ref="D2:F2"/>
    <mergeCell ref="G2:H4"/>
    <mergeCell ref="D3:F3"/>
    <mergeCell ref="E4:F4"/>
    <mergeCell ref="A5:H5"/>
    <mergeCell ref="B6:G6"/>
    <mergeCell ref="B7:G7"/>
    <mergeCell ref="A9:A10"/>
    <mergeCell ref="B9:E10"/>
    <mergeCell ref="A8:H8"/>
    <mergeCell ref="F9:H9"/>
    <mergeCell ref="F10:H10"/>
    <mergeCell ref="B15:E15"/>
    <mergeCell ref="F14:H14"/>
    <mergeCell ref="F15:H15"/>
    <mergeCell ref="A16:H16"/>
    <mergeCell ref="B17:E17"/>
    <mergeCell ref="B18:E18"/>
    <mergeCell ref="F17:H17"/>
    <mergeCell ref="F18:H18"/>
    <mergeCell ref="A19:H19"/>
    <mergeCell ref="B20:E20"/>
    <mergeCell ref="B21:E21"/>
    <mergeCell ref="B22:E22"/>
    <mergeCell ref="F20:H20"/>
    <mergeCell ref="F21:H21"/>
    <mergeCell ref="F22:H22"/>
    <mergeCell ref="B23:E23"/>
    <mergeCell ref="B24:E24"/>
    <mergeCell ref="F23:H23"/>
    <mergeCell ref="F24:H24"/>
    <mergeCell ref="A25:H25"/>
    <mergeCell ref="B35:G35"/>
    <mergeCell ref="C36:G36"/>
    <mergeCell ref="A27:E27"/>
    <mergeCell ref="A26:H26"/>
    <mergeCell ref="F27:H27"/>
    <mergeCell ref="A29:H29"/>
    <mergeCell ref="A30:H30"/>
  </mergeCells>
  <pageMargins left="0.25" right="0.25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 ORÇ.</vt:lpstr>
      <vt:lpstr>PLANILHA ORÇAMENTÁRIA</vt:lpstr>
      <vt:lpstr>CRONOGRAMA </vt:lpstr>
      <vt:lpstr>COMPOSIÇÃO I </vt:lpstr>
      <vt:lpstr>COMPOSIÇÃO II</vt:lpstr>
      <vt:lpstr>COMPOSIÇÃO III </vt:lpstr>
      <vt:lpstr>COMPOSIÇÃO IV</vt:lpstr>
      <vt:lpstr>COMPOSIÇÃO V</vt:lpstr>
      <vt:lpstr>BDI</vt:lpstr>
      <vt:lpstr>Mat. Parque de Exposições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Convidado</dc:creator>
  <cp:lastModifiedBy>Ednalva</cp:lastModifiedBy>
  <cp:lastPrinted>2023-06-20T19:33:42Z</cp:lastPrinted>
  <dcterms:created xsi:type="dcterms:W3CDTF">2020-09-10T11:28:25Z</dcterms:created>
  <dcterms:modified xsi:type="dcterms:W3CDTF">2023-06-21T17:53:29Z</dcterms:modified>
</cp:coreProperties>
</file>