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760"/>
  </bookViews>
  <sheets>
    <sheet name="RESUMO ORÇ." sheetId="32" r:id="rId1"/>
    <sheet name="PLANILHA ORÇAMENTÁRIA" sheetId="29" r:id="rId2"/>
    <sheet name="QUANTITATIVOS" sheetId="14" r:id="rId3"/>
    <sheet name="COMPOSIÇÃO I " sheetId="28" r:id="rId4"/>
    <sheet name="COMPOSIÇÃO II" sheetId="34" r:id="rId5"/>
    <sheet name="COMPOSIÇÃO III" sheetId="38" r:id="rId6"/>
    <sheet name="COMPOSIÇÃO IV" sheetId="43" r:id="rId7"/>
    <sheet name="COMPOSIÇÃO V" sheetId="44" r:id="rId8"/>
    <sheet name="BDI" sheetId="20" r:id="rId9"/>
    <sheet name="CRONOGRAMA " sheetId="31" r:id="rId10"/>
    <sheet name="Qnt. Estrutural" sheetId="36" r:id="rId11"/>
    <sheet name="Tabela de Esquadria" sheetId="45" r:id="rId12"/>
    <sheet name="Quadro de Areas" sheetId="46" r:id="rId13"/>
  </sheets>
  <externalReferences>
    <externalReference r:id="rId14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" i="31" l="1"/>
  <c r="L12" i="31"/>
  <c r="L13" i="31"/>
  <c r="L14" i="31"/>
  <c r="L15" i="31"/>
  <c r="L16" i="31"/>
  <c r="L17" i="31"/>
  <c r="L18" i="31"/>
  <c r="J11" i="31"/>
  <c r="J12" i="31"/>
  <c r="J13" i="31"/>
  <c r="J14" i="31"/>
  <c r="J15" i="31"/>
  <c r="J16" i="31"/>
  <c r="J17" i="31"/>
  <c r="J18" i="31"/>
  <c r="H11" i="31"/>
  <c r="H12" i="31"/>
  <c r="H13" i="31"/>
  <c r="H14" i="31"/>
  <c r="H15" i="31"/>
  <c r="H16" i="31"/>
  <c r="H17" i="31"/>
  <c r="H18" i="31"/>
  <c r="H10" i="31"/>
  <c r="F62" i="14"/>
  <c r="E62" i="14"/>
  <c r="C62" i="14"/>
  <c r="B62" i="14"/>
  <c r="A62" i="14"/>
  <c r="F60" i="14"/>
  <c r="E60" i="14"/>
  <c r="C60" i="14"/>
  <c r="B60" i="14"/>
  <c r="A60" i="14"/>
  <c r="F48" i="14"/>
  <c r="C48" i="14"/>
  <c r="B48" i="14"/>
  <c r="A48" i="14"/>
  <c r="F49" i="14"/>
  <c r="E49" i="14"/>
  <c r="C49" i="14"/>
  <c r="B49" i="14"/>
  <c r="A49" i="14"/>
  <c r="F50" i="14"/>
  <c r="E50" i="14"/>
  <c r="C50" i="14"/>
  <c r="B50" i="14"/>
  <c r="A50" i="14"/>
  <c r="F51" i="14"/>
  <c r="E51" i="14"/>
  <c r="C51" i="14"/>
  <c r="B51" i="14"/>
  <c r="A51" i="14"/>
  <c r="F52" i="14"/>
  <c r="E52" i="14"/>
  <c r="C52" i="14"/>
  <c r="B52" i="14"/>
  <c r="A52" i="14"/>
  <c r="F53" i="14"/>
  <c r="E53" i="14"/>
  <c r="C53" i="14"/>
  <c r="B53" i="14"/>
  <c r="A53" i="14"/>
  <c r="F54" i="14"/>
  <c r="E54" i="14"/>
  <c r="C54" i="14"/>
  <c r="B54" i="14"/>
  <c r="A54" i="14"/>
  <c r="F55" i="14"/>
  <c r="E55" i="14"/>
  <c r="C55" i="14"/>
  <c r="B55" i="14"/>
  <c r="A55" i="14"/>
  <c r="F46" i="14"/>
  <c r="E46" i="14"/>
  <c r="C46" i="14"/>
  <c r="B46" i="14"/>
  <c r="A46" i="14"/>
  <c r="F45" i="14"/>
  <c r="E45" i="14"/>
  <c r="C45" i="14"/>
  <c r="B45" i="14"/>
  <c r="A45" i="14"/>
  <c r="B43" i="14"/>
  <c r="A43" i="14"/>
  <c r="F25" i="14"/>
  <c r="E25" i="14"/>
  <c r="C25" i="14"/>
  <c r="B25" i="14"/>
  <c r="A25" i="14"/>
  <c r="F26" i="14"/>
  <c r="E26" i="14"/>
  <c r="C26" i="14"/>
  <c r="B26" i="14"/>
  <c r="A26" i="14"/>
  <c r="F27" i="14"/>
  <c r="E27" i="14"/>
  <c r="C27" i="14"/>
  <c r="B27" i="14"/>
  <c r="A27" i="14"/>
  <c r="F28" i="14"/>
  <c r="E28" i="14"/>
  <c r="C28" i="14"/>
  <c r="B28" i="14"/>
  <c r="A28" i="14"/>
  <c r="H42" i="29"/>
  <c r="G45" i="29"/>
  <c r="E45" i="29"/>
  <c r="E31" i="29"/>
  <c r="E32" i="14" s="1"/>
  <c r="E44" i="29"/>
  <c r="E37" i="29"/>
  <c r="E38" i="14" s="1"/>
  <c r="B31" i="46"/>
  <c r="B26" i="46"/>
  <c r="B28" i="46"/>
  <c r="H39" i="45"/>
  <c r="B27" i="46"/>
  <c r="C24" i="46"/>
  <c r="H35" i="45"/>
  <c r="H31" i="45"/>
  <c r="E19" i="29" s="1"/>
  <c r="E43" i="29"/>
  <c r="E18" i="29" s="1"/>
  <c r="E19" i="14" s="1"/>
  <c r="H32" i="45"/>
  <c r="E39" i="29"/>
  <c r="I31" i="45"/>
  <c r="E28" i="29"/>
  <c r="E22" i="29" s="1"/>
  <c r="E23" i="14" s="1"/>
  <c r="E16" i="29"/>
  <c r="E17" i="14" s="1"/>
  <c r="E15" i="29"/>
  <c r="E16" i="14" s="1"/>
  <c r="H26" i="45"/>
  <c r="I26" i="45" s="1"/>
  <c r="I23" i="45"/>
  <c r="H25" i="45"/>
  <c r="I25" i="45" s="1"/>
  <c r="H7" i="45"/>
  <c r="I7" i="45" s="1"/>
  <c r="H8" i="45"/>
  <c r="I8" i="45" s="1"/>
  <c r="H9" i="45"/>
  <c r="I9" i="45" s="1"/>
  <c r="H10" i="45"/>
  <c r="I10" i="45"/>
  <c r="H11" i="45"/>
  <c r="I11" i="45" s="1"/>
  <c r="H12" i="45"/>
  <c r="I12" i="45" s="1"/>
  <c r="H13" i="45"/>
  <c r="I13" i="45" s="1"/>
  <c r="H14" i="45"/>
  <c r="I14" i="45" s="1"/>
  <c r="H15" i="45"/>
  <c r="I15" i="45" s="1"/>
  <c r="H16" i="45"/>
  <c r="I16" i="45" s="1"/>
  <c r="H17" i="45"/>
  <c r="I17" i="45" s="1"/>
  <c r="H18" i="45"/>
  <c r="I18" i="45" s="1"/>
  <c r="H19" i="45"/>
  <c r="I19" i="45"/>
  <c r="H20" i="45"/>
  <c r="I20" i="45" s="1"/>
  <c r="H21" i="45"/>
  <c r="I21" i="45"/>
  <c r="H22" i="45"/>
  <c r="I22" i="45" s="1"/>
  <c r="H23" i="45"/>
  <c r="H24" i="45"/>
  <c r="I24" i="45" s="1"/>
  <c r="H27" i="45"/>
  <c r="H28" i="45"/>
  <c r="H29" i="45"/>
  <c r="H6" i="45"/>
  <c r="I6" i="45" s="1"/>
  <c r="F21" i="20"/>
  <c r="D12" i="28"/>
  <c r="D11" i="28"/>
  <c r="B24" i="14"/>
  <c r="A24" i="14"/>
  <c r="B59" i="14"/>
  <c r="A59" i="14"/>
  <c r="B57" i="14"/>
  <c r="A57" i="14"/>
  <c r="F61" i="14"/>
  <c r="E61" i="14"/>
  <c r="C61" i="14"/>
  <c r="B61" i="14"/>
  <c r="A61" i="14"/>
  <c r="F58" i="14"/>
  <c r="C58" i="14"/>
  <c r="B58" i="14"/>
  <c r="A58" i="14"/>
  <c r="F56" i="14"/>
  <c r="C56" i="14"/>
  <c r="B56" i="14"/>
  <c r="A56" i="14"/>
  <c r="B47" i="14"/>
  <c r="A47" i="14"/>
  <c r="B41" i="14"/>
  <c r="B39" i="14"/>
  <c r="B36" i="14"/>
  <c r="B34" i="14"/>
  <c r="B33" i="14"/>
  <c r="A33" i="14"/>
  <c r="B30" i="14"/>
  <c r="A30" i="14"/>
  <c r="B13" i="14"/>
  <c r="A13" i="14"/>
  <c r="F44" i="14"/>
  <c r="E44" i="14"/>
  <c r="F42" i="14"/>
  <c r="F40" i="14"/>
  <c r="F38" i="14"/>
  <c r="F37" i="14"/>
  <c r="F35" i="14"/>
  <c r="F32" i="14"/>
  <c r="F31" i="14"/>
  <c r="E31" i="14"/>
  <c r="F29" i="14"/>
  <c r="F23" i="14"/>
  <c r="F22" i="14"/>
  <c r="E22" i="14"/>
  <c r="F21" i="14"/>
  <c r="F20" i="14"/>
  <c r="F19" i="14"/>
  <c r="F18" i="14"/>
  <c r="F17" i="14"/>
  <c r="F16" i="14"/>
  <c r="F15" i="14"/>
  <c r="F14" i="14"/>
  <c r="E12" i="14"/>
  <c r="F12" i="14"/>
  <c r="C44" i="14"/>
  <c r="B44" i="14"/>
  <c r="A44" i="14"/>
  <c r="C42" i="14"/>
  <c r="B42" i="14"/>
  <c r="A42" i="14"/>
  <c r="C40" i="14"/>
  <c r="B40" i="14"/>
  <c r="A40" i="14"/>
  <c r="C38" i="14"/>
  <c r="B38" i="14"/>
  <c r="A38" i="14"/>
  <c r="C37" i="14"/>
  <c r="B37" i="14"/>
  <c r="A37" i="14"/>
  <c r="C35" i="14"/>
  <c r="B35" i="14"/>
  <c r="A35" i="14"/>
  <c r="C32" i="14"/>
  <c r="B32" i="14"/>
  <c r="A32" i="14"/>
  <c r="C31" i="14"/>
  <c r="B31" i="14"/>
  <c r="A31" i="14"/>
  <c r="C29" i="14"/>
  <c r="B29" i="14"/>
  <c r="A29" i="14"/>
  <c r="C23" i="14"/>
  <c r="B23" i="14"/>
  <c r="A23" i="14"/>
  <c r="C22" i="14"/>
  <c r="B22" i="14"/>
  <c r="A22" i="14"/>
  <c r="C21" i="14"/>
  <c r="B21" i="14"/>
  <c r="A21" i="14"/>
  <c r="C20" i="14"/>
  <c r="B20" i="14"/>
  <c r="A20" i="14"/>
  <c r="C19" i="14"/>
  <c r="B19" i="14"/>
  <c r="A19" i="14"/>
  <c r="C18" i="14"/>
  <c r="B18" i="14"/>
  <c r="A18" i="14"/>
  <c r="C17" i="14"/>
  <c r="B17" i="14"/>
  <c r="A17" i="14"/>
  <c r="C16" i="14"/>
  <c r="B16" i="14"/>
  <c r="A16" i="14"/>
  <c r="C15" i="14"/>
  <c r="B15" i="14"/>
  <c r="A15" i="14"/>
  <c r="C14" i="14"/>
  <c r="B14" i="14"/>
  <c r="A14" i="14"/>
  <c r="C12" i="14"/>
  <c r="B12" i="14"/>
  <c r="A12" i="14"/>
  <c r="B11" i="14"/>
  <c r="A11" i="14"/>
  <c r="B17" i="32"/>
  <c r="B18" i="31" s="1"/>
  <c r="E40" i="14"/>
  <c r="B16" i="32"/>
  <c r="B17" i="31" s="1"/>
  <c r="B15" i="32"/>
  <c r="B16" i="31" s="1"/>
  <c r="B14" i="32"/>
  <c r="B15" i="31" s="1"/>
  <c r="B13" i="32"/>
  <c r="B14" i="31" s="1"/>
  <c r="B12" i="32"/>
  <c r="B13" i="31" s="1"/>
  <c r="B11" i="32"/>
  <c r="B12" i="31" s="1"/>
  <c r="B10" i="32"/>
  <c r="B11" i="31" s="1"/>
  <c r="B9" i="32"/>
  <c r="F18" i="44"/>
  <c r="F13" i="44"/>
  <c r="F12" i="44"/>
  <c r="F11" i="44"/>
  <c r="F10" i="44"/>
  <c r="F17" i="44"/>
  <c r="F15" i="44"/>
  <c r="F6" i="44"/>
  <c r="D3" i="44"/>
  <c r="H19" i="31" l="1"/>
  <c r="E48" i="14"/>
  <c r="H45" i="29"/>
  <c r="E41" i="29"/>
  <c r="E42" i="14" s="1"/>
  <c r="E34" i="29"/>
  <c r="E35" i="14" s="1"/>
  <c r="E36" i="29"/>
  <c r="E37" i="14" s="1"/>
  <c r="E55" i="29"/>
  <c r="E29" i="14"/>
  <c r="F19" i="44"/>
  <c r="F31" i="29" s="1"/>
  <c r="F28" i="29"/>
  <c r="F6" i="38"/>
  <c r="F6" i="34"/>
  <c r="F6" i="28"/>
  <c r="F6" i="43"/>
  <c r="F14" i="43"/>
  <c r="F13" i="43"/>
  <c r="F11" i="43"/>
  <c r="D3" i="43"/>
  <c r="E13" i="29"/>
  <c r="E14" i="14" s="1"/>
  <c r="E17" i="29"/>
  <c r="E18" i="14" s="1"/>
  <c r="H7" i="29"/>
  <c r="E56" i="14" l="1"/>
  <c r="E57" i="29"/>
  <c r="E20" i="29" s="1"/>
  <c r="E21" i="14" s="1"/>
  <c r="F15" i="43"/>
  <c r="E20" i="14"/>
  <c r="L7" i="31"/>
  <c r="H7" i="20"/>
  <c r="E8" i="14"/>
  <c r="H7" i="32"/>
  <c r="E14" i="29"/>
  <c r="E15" i="14" s="1"/>
  <c r="F17" i="38"/>
  <c r="F16" i="38"/>
  <c r="F15" i="38"/>
  <c r="F14" i="38"/>
  <c r="F13" i="38"/>
  <c r="F12" i="38"/>
  <c r="F11" i="38"/>
  <c r="D3" i="38"/>
  <c r="E58" i="14" l="1"/>
  <c r="F18" i="38"/>
  <c r="F14" i="29" s="1"/>
  <c r="F13" i="29" l="1"/>
  <c r="M38" i="36"/>
  <c r="M37" i="36"/>
  <c r="L37" i="36"/>
  <c r="J38" i="36"/>
  <c r="J37" i="36"/>
  <c r="G38" i="36"/>
  <c r="H38" i="36" s="1"/>
  <c r="E38" i="36"/>
  <c r="F38" i="36" s="1"/>
  <c r="G37" i="36"/>
  <c r="H37" i="36" s="1"/>
  <c r="F37" i="36"/>
  <c r="E37" i="36"/>
  <c r="F39" i="36" l="1"/>
  <c r="H39" i="36"/>
  <c r="F20" i="20"/>
  <c r="I14" i="20" s="1"/>
  <c r="F17" i="20"/>
  <c r="I13" i="20"/>
  <c r="I12" i="20"/>
  <c r="I11" i="20"/>
  <c r="F11" i="20"/>
  <c r="I15" i="20" l="1"/>
  <c r="I16" i="20" s="1"/>
  <c r="F27" i="20" s="1"/>
  <c r="E4" i="20" s="1"/>
  <c r="J4" i="31" l="1"/>
  <c r="D3" i="28"/>
  <c r="D3" i="34"/>
  <c r="E4" i="29"/>
  <c r="E4" i="32"/>
  <c r="J30" i="36"/>
  <c r="J24" i="36"/>
  <c r="E30" i="36"/>
  <c r="E24" i="36"/>
  <c r="F24" i="36" s="1"/>
  <c r="G27" i="36"/>
  <c r="H27" i="36" s="1"/>
  <c r="J27" i="36" s="1"/>
  <c r="G26" i="36"/>
  <c r="E27" i="36"/>
  <c r="F27" i="36" s="1"/>
  <c r="E26" i="36"/>
  <c r="F26" i="36" s="1"/>
  <c r="E21" i="36"/>
  <c r="F21" i="36" s="1"/>
  <c r="G21" i="36"/>
  <c r="H21" i="36" s="1"/>
  <c r="J21" i="36" s="1"/>
  <c r="G20" i="36"/>
  <c r="E20" i="36"/>
  <c r="F20" i="36" s="1"/>
  <c r="H20" i="36" s="1"/>
  <c r="J20" i="36" s="1"/>
  <c r="M7" i="36"/>
  <c r="L6" i="36"/>
  <c r="K11" i="36"/>
  <c r="M11" i="36" s="1"/>
  <c r="J12" i="36"/>
  <c r="M12" i="36" s="1"/>
  <c r="J10" i="36"/>
  <c r="J9" i="36"/>
  <c r="J7" i="36"/>
  <c r="J5" i="36"/>
  <c r="H5" i="36"/>
  <c r="G5" i="36"/>
  <c r="H4" i="36"/>
  <c r="G4" i="36"/>
  <c r="J4" i="36" s="1"/>
  <c r="K6" i="36" s="1"/>
  <c r="M6" i="36" s="1"/>
  <c r="F16" i="34"/>
  <c r="F15" i="34"/>
  <c r="F13" i="34"/>
  <c r="F12" i="34"/>
  <c r="F11" i="34"/>
  <c r="G61" i="29" l="1"/>
  <c r="H61" i="29" s="1"/>
  <c r="G44" i="29"/>
  <c r="H44" i="29" s="1"/>
  <c r="G59" i="29"/>
  <c r="H59" i="29" s="1"/>
  <c r="G27" i="29"/>
  <c r="H27" i="29" s="1"/>
  <c r="G24" i="29"/>
  <c r="H24" i="29" s="1"/>
  <c r="G26" i="29"/>
  <c r="H26" i="29" s="1"/>
  <c r="G54" i="29"/>
  <c r="H54" i="29" s="1"/>
  <c r="G51" i="29"/>
  <c r="H51" i="29" s="1"/>
  <c r="G52" i="29"/>
  <c r="H52" i="29" s="1"/>
  <c r="G50" i="29"/>
  <c r="H50" i="29" s="1"/>
  <c r="G49" i="29"/>
  <c r="H49" i="29" s="1"/>
  <c r="G60" i="29"/>
  <c r="H60" i="29" s="1"/>
  <c r="G22" i="29"/>
  <c r="H22" i="29" s="1"/>
  <c r="G21" i="29"/>
  <c r="H21" i="29" s="1"/>
  <c r="G57" i="29"/>
  <c r="H57" i="29" s="1"/>
  <c r="H56" i="29" s="1"/>
  <c r="G16" i="32" s="1"/>
  <c r="E17" i="31" s="1"/>
  <c r="G53" i="29"/>
  <c r="H53" i="29" s="1"/>
  <c r="G55" i="29"/>
  <c r="H55" i="29" s="1"/>
  <c r="G17" i="29"/>
  <c r="H17" i="29" s="1"/>
  <c r="G25" i="29"/>
  <c r="H25" i="29" s="1"/>
  <c r="G37" i="29"/>
  <c r="H37" i="29" s="1"/>
  <c r="G36" i="29"/>
  <c r="H36" i="29" s="1"/>
  <c r="G34" i="29"/>
  <c r="H34" i="29" s="1"/>
  <c r="G39" i="29"/>
  <c r="H39" i="29" s="1"/>
  <c r="G28" i="29"/>
  <c r="H28" i="29" s="1"/>
  <c r="G19" i="29"/>
  <c r="H19" i="29" s="1"/>
  <c r="G18" i="29"/>
  <c r="H18" i="29" s="1"/>
  <c r="G20" i="29"/>
  <c r="H20" i="29" s="1"/>
  <c r="G16" i="29"/>
  <c r="H16" i="29" s="1"/>
  <c r="G43" i="29"/>
  <c r="H43" i="29" s="1"/>
  <c r="G31" i="29"/>
  <c r="H31" i="29" s="1"/>
  <c r="G14" i="29"/>
  <c r="H14" i="29" s="1"/>
  <c r="G13" i="29"/>
  <c r="H13" i="29" s="1"/>
  <c r="G47" i="29"/>
  <c r="H47" i="29" s="1"/>
  <c r="G15" i="29"/>
  <c r="G48" i="29"/>
  <c r="H48" i="29" s="1"/>
  <c r="G41" i="29"/>
  <c r="H41" i="29" s="1"/>
  <c r="J22" i="36"/>
  <c r="H26" i="36"/>
  <c r="J26" i="36" s="1"/>
  <c r="J28" i="36" s="1"/>
  <c r="F17" i="34"/>
  <c r="H58" i="29" l="1"/>
  <c r="G17" i="32"/>
  <c r="E18" i="31" s="1"/>
  <c r="H23" i="29"/>
  <c r="G11" i="32" s="1"/>
  <c r="H46" i="29"/>
  <c r="H32" i="29"/>
  <c r="G13" i="32" s="1"/>
  <c r="E14" i="31" s="1"/>
  <c r="G14" i="32"/>
  <c r="H15" i="29"/>
  <c r="H12" i="29" s="1"/>
  <c r="B10" i="31"/>
  <c r="G30" i="29"/>
  <c r="H30" i="29" s="1"/>
  <c r="F12" i="28"/>
  <c r="F11" i="28"/>
  <c r="E12" i="31" l="1"/>
  <c r="G10" i="32"/>
  <c r="E11" i="31" s="1"/>
  <c r="G15" i="32"/>
  <c r="E16" i="31" s="1"/>
  <c r="E15" i="31"/>
  <c r="H29" i="29"/>
  <c r="G12" i="32" s="1"/>
  <c r="E13" i="31" s="1"/>
  <c r="F13" i="28"/>
  <c r="F11" i="29" l="1"/>
  <c r="G11" i="29" s="1"/>
  <c r="H11" i="29" s="1"/>
  <c r="H10" i="29" s="1"/>
  <c r="G63" i="29" s="1"/>
  <c r="G9" i="32" l="1"/>
  <c r="E10" i="31" l="1"/>
  <c r="E19" i="31" s="1"/>
  <c r="D15" i="31" s="1"/>
  <c r="G18" i="32"/>
  <c r="F17" i="32" s="1"/>
  <c r="J10" i="31" l="1"/>
  <c r="J19" i="31" s="1"/>
  <c r="D16" i="31"/>
  <c r="D18" i="31"/>
  <c r="D17" i="31"/>
  <c r="G19" i="31"/>
  <c r="L10" i="31"/>
  <c r="L19" i="31" s="1"/>
  <c r="F10" i="32"/>
  <c r="F16" i="32"/>
  <c r="F15" i="32"/>
  <c r="F14" i="32"/>
  <c r="F13" i="32"/>
  <c r="F11" i="32"/>
  <c r="F12" i="32"/>
  <c r="F9" i="32"/>
  <c r="L20" i="31" l="1"/>
  <c r="K20" i="31" s="1"/>
  <c r="F18" i="32"/>
  <c r="D13" i="31"/>
  <c r="D12" i="31"/>
  <c r="D11" i="31"/>
  <c r="D14" i="31"/>
  <c r="I19" i="31"/>
  <c r="K19" i="31"/>
  <c r="D10" i="31"/>
  <c r="D19" i="31" l="1"/>
</calcChain>
</file>

<file path=xl/sharedStrings.xml><?xml version="1.0" encoding="utf-8"?>
<sst xmlns="http://schemas.openxmlformats.org/spreadsheetml/2006/main" count="636" uniqueCount="342">
  <si>
    <r>
      <rPr>
        <b/>
        <sz val="10"/>
        <rFont val="Arial"/>
        <family val="2"/>
      </rPr>
      <t>T O T A L   G E R A L</t>
    </r>
  </si>
  <si>
    <r>
      <rPr>
        <b/>
        <sz val="6"/>
        <rFont val="Arial"/>
        <family val="2"/>
      </rPr>
      <t>NÃO DESONERADO</t>
    </r>
  </si>
  <si>
    <r>
      <rPr>
        <b/>
        <sz val="9"/>
        <rFont val="Arial"/>
        <family val="2"/>
      </rPr>
      <t>BDI</t>
    </r>
  </si>
  <si>
    <r>
      <rPr>
        <b/>
        <sz val="5.5"/>
        <rFont val="Arial"/>
        <family val="2"/>
      </rPr>
      <t>OBRA:</t>
    </r>
  </si>
  <si>
    <r>
      <rPr>
        <b/>
        <sz val="5"/>
        <rFont val="Arial"/>
        <family val="2"/>
      </rPr>
      <t>ITEM</t>
    </r>
  </si>
  <si>
    <r>
      <rPr>
        <b/>
        <sz val="5"/>
        <rFont val="Arial"/>
        <family val="2"/>
      </rPr>
      <t>CÓDIGO</t>
    </r>
  </si>
  <si>
    <r>
      <rPr>
        <b/>
        <sz val="5"/>
        <rFont val="Arial"/>
        <family val="2"/>
      </rPr>
      <t>DESCRIÇÃO DO SERVIÇO</t>
    </r>
  </si>
  <si>
    <r>
      <rPr>
        <b/>
        <sz val="5"/>
        <rFont val="Arial"/>
        <family val="2"/>
      </rPr>
      <t>UN.</t>
    </r>
  </si>
  <si>
    <r>
      <rPr>
        <b/>
        <sz val="5"/>
        <rFont val="Arial"/>
        <family val="2"/>
      </rPr>
      <t>QUANT.</t>
    </r>
  </si>
  <si>
    <r>
      <rPr>
        <b/>
        <sz val="5"/>
        <rFont val="Arial"/>
        <family val="2"/>
      </rPr>
      <t>PREÇO UNIT. (R$)</t>
    </r>
  </si>
  <si>
    <r>
      <rPr>
        <b/>
        <sz val="5"/>
        <rFont val="Arial"/>
        <family val="2"/>
      </rPr>
      <t>PREÇO BDI. (R$)</t>
    </r>
  </si>
  <si>
    <r>
      <rPr>
        <b/>
        <sz val="5"/>
        <rFont val="Arial"/>
        <family val="2"/>
      </rPr>
      <t>PREÇO FINAL (R$)</t>
    </r>
  </si>
  <si>
    <r>
      <rPr>
        <sz val="5.5"/>
        <rFont val="Arial"/>
        <family val="2"/>
      </rPr>
      <t>ADMINISTRAÇÃO LOCAL</t>
    </r>
  </si>
  <si>
    <r>
      <rPr>
        <b/>
        <sz val="6"/>
        <rFont val="Arial"/>
        <family val="2"/>
      </rPr>
      <t>ADMINISTRAÇÃO LOCAL</t>
    </r>
  </si>
  <si>
    <r>
      <rPr>
        <b/>
        <sz val="6"/>
        <rFont val="Arial"/>
        <family val="2"/>
      </rPr>
      <t>UN</t>
    </r>
  </si>
  <si>
    <r>
      <rPr>
        <b/>
        <sz val="6"/>
        <rFont val="Arial"/>
        <family val="2"/>
      </rPr>
      <t>SINAPI ou Cot. De Mercado</t>
    </r>
  </si>
  <si>
    <r>
      <rPr>
        <b/>
        <sz val="6"/>
        <rFont val="Arial"/>
        <family val="2"/>
      </rPr>
      <t>COMPONENTES</t>
    </r>
  </si>
  <si>
    <r>
      <rPr>
        <b/>
        <sz val="6"/>
        <rFont val="Arial"/>
        <family val="2"/>
      </rPr>
      <t>Quantidade</t>
    </r>
  </si>
  <si>
    <r>
      <rPr>
        <b/>
        <sz val="6"/>
        <rFont val="Arial"/>
        <family val="2"/>
      </rPr>
      <t>Custos Unit. (R$)</t>
    </r>
  </si>
  <si>
    <r>
      <rPr>
        <b/>
        <sz val="6"/>
        <rFont val="Arial"/>
        <family val="2"/>
      </rPr>
      <t>Custos Total (R$)</t>
    </r>
  </si>
  <si>
    <r>
      <rPr>
        <b/>
        <sz val="6"/>
        <rFont val="Arial"/>
        <family val="2"/>
      </rPr>
      <t>MÃO DE OBRA</t>
    </r>
  </si>
  <si>
    <r>
      <rPr>
        <sz val="6"/>
        <rFont val="Arial"/>
        <family val="2"/>
      </rPr>
      <t>MESTRE DE OBRAS COM ENCARGOS COMPLEMENTARES</t>
    </r>
  </si>
  <si>
    <r>
      <rPr>
        <sz val="6"/>
        <rFont val="Arial"/>
        <family val="2"/>
      </rPr>
      <t>H</t>
    </r>
  </si>
  <si>
    <r>
      <rPr>
        <sz val="6"/>
        <rFont val="Arial"/>
        <family val="2"/>
      </rPr>
      <t>ENGENHEIRO CIVIL DE OBRA JUNIOR COM ENCARGOS COMPLEMENTARES</t>
    </r>
  </si>
  <si>
    <r>
      <rPr>
        <b/>
        <sz val="6"/>
        <rFont val="Arial"/>
        <family val="2"/>
      </rPr>
      <t>Total</t>
    </r>
  </si>
  <si>
    <r>
      <rPr>
        <b/>
        <sz val="6"/>
        <rFont val="Arial"/>
        <family val="2"/>
      </rPr>
      <t>MEMÓRIA DE CÁLCULO - ADMINISTRAÇÃO LOCAL</t>
    </r>
  </si>
  <si>
    <r>
      <rPr>
        <b/>
        <sz val="6"/>
        <rFont val="Arial"/>
        <family val="2"/>
      </rPr>
      <t>CÁLCULO</t>
    </r>
  </si>
  <si>
    <r>
      <rPr>
        <b/>
        <sz val="6"/>
        <rFont val="Arial"/>
        <family val="2"/>
      </rPr>
      <t>M A T E R I A L</t>
    </r>
  </si>
  <si>
    <r>
      <rPr>
        <b/>
        <sz val="9.5"/>
        <rFont val="Arial"/>
        <family val="2"/>
      </rPr>
      <t>BDI</t>
    </r>
  </si>
  <si>
    <r>
      <rPr>
        <b/>
        <sz val="6"/>
        <rFont val="Arial"/>
        <family val="2"/>
      </rPr>
      <t>ITEM</t>
    </r>
  </si>
  <si>
    <r>
      <rPr>
        <b/>
        <sz val="6"/>
        <rFont val="Arial"/>
        <family val="2"/>
      </rPr>
      <t>DISCRIMINAÇÃO</t>
    </r>
  </si>
  <si>
    <r>
      <rPr>
        <b/>
        <sz val="6"/>
        <rFont val="Arial"/>
        <family val="2"/>
      </rPr>
      <t>PERCENTUAL</t>
    </r>
  </si>
  <si>
    <r>
      <rPr>
        <b/>
        <sz val="6"/>
        <rFont val="Arial"/>
        <family val="2"/>
      </rPr>
      <t>( % )</t>
    </r>
  </si>
  <si>
    <r>
      <rPr>
        <b/>
        <sz val="6"/>
        <rFont val="Arial"/>
        <family val="2"/>
      </rPr>
      <t>ADMINISTRAÇÃO DA OBRA</t>
    </r>
  </si>
  <si>
    <r>
      <rPr>
        <sz val="6"/>
        <rFont val="Arial"/>
        <family val="2"/>
      </rPr>
      <t>1.1</t>
    </r>
  </si>
  <si>
    <r>
      <rPr>
        <b/>
        <sz val="6"/>
        <rFont val="Arial"/>
        <family val="2"/>
      </rPr>
      <t xml:space="preserve">AC - </t>
    </r>
    <r>
      <rPr>
        <sz val="6"/>
        <rFont val="Arial"/>
        <family val="2"/>
      </rPr>
      <t>Administração Central</t>
    </r>
  </si>
  <si>
    <r>
      <rPr>
        <sz val="6"/>
        <rFont val="Arial"/>
        <family val="2"/>
      </rPr>
      <t>1.2</t>
    </r>
  </si>
  <si>
    <r>
      <rPr>
        <b/>
        <sz val="6"/>
        <rFont val="Arial"/>
        <family val="2"/>
      </rPr>
      <t xml:space="preserve">SG - </t>
    </r>
    <r>
      <rPr>
        <sz val="6"/>
        <rFont val="Arial"/>
        <family val="2"/>
      </rPr>
      <t>Seguro e Garantia</t>
    </r>
  </si>
  <si>
    <r>
      <rPr>
        <sz val="6"/>
        <rFont val="Arial"/>
        <family val="2"/>
      </rPr>
      <t>1.3</t>
    </r>
  </si>
  <si>
    <r>
      <rPr>
        <b/>
        <sz val="6"/>
        <rFont val="Arial"/>
        <family val="2"/>
      </rPr>
      <t xml:space="preserve">C - </t>
    </r>
    <r>
      <rPr>
        <sz val="6"/>
        <rFont val="Arial"/>
        <family val="2"/>
      </rPr>
      <t>Riscos</t>
    </r>
  </si>
  <si>
    <r>
      <rPr>
        <sz val="6"/>
        <rFont val="Arial"/>
        <family val="2"/>
      </rPr>
      <t>1.4</t>
    </r>
  </si>
  <si>
    <r>
      <rPr>
        <b/>
        <sz val="6"/>
        <rFont val="Arial"/>
        <family val="2"/>
      </rPr>
      <t xml:space="preserve">DF - </t>
    </r>
    <r>
      <rPr>
        <sz val="6"/>
        <rFont val="Arial"/>
        <family val="2"/>
      </rPr>
      <t>Custos Financeiras</t>
    </r>
  </si>
  <si>
    <r>
      <rPr>
        <b/>
        <sz val="6"/>
        <rFont val="Arial"/>
        <family val="2"/>
      </rPr>
      <t>2.0</t>
    </r>
  </si>
  <si>
    <r>
      <rPr>
        <b/>
        <sz val="6"/>
        <rFont val="Arial"/>
        <family val="2"/>
      </rPr>
      <t>LUCRO</t>
    </r>
  </si>
  <si>
    <r>
      <rPr>
        <sz val="6"/>
        <rFont val="Arial"/>
        <family val="2"/>
      </rPr>
      <t>2.1</t>
    </r>
  </si>
  <si>
    <r>
      <rPr>
        <b/>
        <sz val="6"/>
        <rFont val="Arial"/>
        <family val="2"/>
      </rPr>
      <t xml:space="preserve">L - </t>
    </r>
    <r>
      <rPr>
        <sz val="6"/>
        <rFont val="Arial"/>
        <family val="2"/>
      </rPr>
      <t>Lucro Operacional</t>
    </r>
  </si>
  <si>
    <r>
      <rPr>
        <b/>
        <sz val="6"/>
        <rFont val="Arial"/>
        <family val="2"/>
      </rPr>
      <t>3.0</t>
    </r>
  </si>
  <si>
    <r>
      <rPr>
        <b/>
        <sz val="6"/>
        <rFont val="Arial"/>
        <family val="2"/>
      </rPr>
      <t>TRIBUTOS</t>
    </r>
  </si>
  <si>
    <r>
      <rPr>
        <sz val="6"/>
        <rFont val="Arial"/>
        <family val="2"/>
      </rPr>
      <t>3.1</t>
    </r>
  </si>
  <si>
    <r>
      <rPr>
        <sz val="6"/>
        <rFont val="Arial"/>
        <family val="2"/>
      </rPr>
      <t>**ISS</t>
    </r>
  </si>
  <si>
    <r>
      <rPr>
        <sz val="6"/>
        <rFont val="Arial"/>
        <family val="2"/>
      </rPr>
      <t>3.2</t>
    </r>
  </si>
  <si>
    <r>
      <rPr>
        <sz val="6"/>
        <rFont val="Arial"/>
        <family val="2"/>
      </rPr>
      <t>Cofins</t>
    </r>
  </si>
  <si>
    <r>
      <rPr>
        <sz val="6"/>
        <rFont val="Arial"/>
        <family val="2"/>
      </rPr>
      <t>3.3</t>
    </r>
  </si>
  <si>
    <r>
      <rPr>
        <sz val="6"/>
        <rFont val="Arial"/>
        <family val="2"/>
      </rPr>
      <t>Pis</t>
    </r>
  </si>
  <si>
    <r>
      <rPr>
        <sz val="6"/>
        <rFont val="Arial"/>
        <family val="2"/>
      </rPr>
      <t>3.4</t>
    </r>
  </si>
  <si>
    <r>
      <rPr>
        <sz val="6"/>
        <rFont val="Arial"/>
        <family val="2"/>
      </rPr>
      <t>Contribuição Previdenciária - Lei nº 12.546/13</t>
    </r>
  </si>
  <si>
    <r>
      <rPr>
        <sz val="6"/>
        <rFont val="Arial"/>
        <family val="2"/>
      </rPr>
      <t>Segundo o que determina a lei nº 8.666/93, admite-se fixar o percentual de BDI, dede que seguindo as técnicas da Engenharia e Custos.</t>
    </r>
  </si>
  <si>
    <r>
      <rPr>
        <b/>
        <sz val="6"/>
        <rFont val="Arial"/>
        <family val="2"/>
      </rPr>
      <t>Não incidem IRPJ e CSLL na composição de Tributos.</t>
    </r>
  </si>
  <si>
    <r>
      <rPr>
        <b/>
        <sz val="6"/>
        <rFont val="Calibri"/>
        <family val="2"/>
      </rPr>
      <t>CÁLCULO DO BDI</t>
    </r>
  </si>
  <si>
    <t>COMPOSIÇÃO</t>
  </si>
  <si>
    <t>Und.</t>
  </si>
  <si>
    <t>m²</t>
  </si>
  <si>
    <t>m</t>
  </si>
  <si>
    <t>OBRA:</t>
  </si>
  <si>
    <t>LOCAL:</t>
  </si>
  <si>
    <t>MEMORIAL DE CÁLCULO</t>
  </si>
  <si>
    <t>30 DIAS</t>
  </si>
  <si>
    <t>%</t>
  </si>
  <si>
    <t xml:space="preserve">SETOR DE ENGENHARIA </t>
  </si>
  <si>
    <t>TOTAL ACUMULADO</t>
  </si>
  <si>
    <t>TOTAL GERAL</t>
  </si>
  <si>
    <t>ORÇAMENTO</t>
  </si>
  <si>
    <t xml:space="preserve">PLANILHA ORÇAMENTÁRIA </t>
  </si>
  <si>
    <t xml:space="preserve">PREFEITURA  DE NOVA SANTA HELENA-MT </t>
  </si>
  <si>
    <t>ADMINISTRAÇÃO DE OBRA</t>
  </si>
  <si>
    <t>DATA</t>
  </si>
  <si>
    <t>RESUMO ORÇAMENTÁRIO</t>
  </si>
  <si>
    <t>PREFEITURA  DE NOVA SANTA HELENA-MT</t>
  </si>
  <si>
    <t>CRONOGRAMA FÍSICO-FINANCEIRO</t>
  </si>
  <si>
    <t>BDI</t>
  </si>
  <si>
    <t>TAXA DE BDI A SER APLICADA SOBRE O CUSTO DIRETO</t>
  </si>
  <si>
    <t xml:space="preserve">COBERTURA </t>
  </si>
  <si>
    <t>kg</t>
  </si>
  <si>
    <t>Rua Pará, Quadra 169, Lotes 01 ao 22, S/N, Centro</t>
  </si>
  <si>
    <t>COMPOSIÇÃO II</t>
  </si>
  <si>
    <t>Custos Total S/ BDI (R$)</t>
  </si>
  <si>
    <t>H</t>
  </si>
  <si>
    <t>SERVENTE COM ENCARGOS COMPLEMENTARES</t>
  </si>
  <si>
    <t>Indicação: C - Composição;  I - Insumo.</t>
  </si>
  <si>
    <t xml:space="preserve">FONTE </t>
  </si>
  <si>
    <t>LIMPEZA MECANIZADA DO TERRENO C/ RETROESCAVADEIRA (VEGETAÇÃO RASTEIRA) INCLUSIVE CARGA E TRANSPORTE - DMT ATÉ 1KM</t>
  </si>
  <si>
    <t>COMPOSIÇÃO I</t>
  </si>
  <si>
    <t>COMPOSIÇÃO III</t>
  </si>
  <si>
    <t>CAMINHÃO BASCULANTE 6 M3, PESO BRUTO TOTAL 16.000 KG, CARGA ÚTIL MÁXIMA 13.071 KG, DISTÂNCIA ENTRE EIXOS 4,80 M, POTÊNCIA 230 CV INCLUSIVE CAÇAMBA METÁLICA - MATERIAIS NA OPERAÇÃO. AF_06/2014</t>
  </si>
  <si>
    <t>EQUIPAMENTO</t>
  </si>
  <si>
    <t>PÁ CARREGADEIRA SOBRE RODAS, POTÊNCIA LÍQUIDA 128 HP, CAPACIDADE DA CAÇAMBA 1,7 A 2,8 M3, PESO OPERACIONAL 11632 KG - MATERIAIS NA OPERAÇÃO. AF_06/2014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</si>
  <si>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</si>
  <si>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>ENCARREGADO GERAL COM ENCARGOS COMPLEMENTARES</t>
  </si>
  <si>
    <t>MÃO DE OBRA</t>
  </si>
  <si>
    <t>M²</t>
  </si>
  <si>
    <t>**COMPOSIÇÃO BASEADA NO ORSE, CÓD. 09937 - (NOVEMBRO/2021)</t>
  </si>
  <si>
    <t>Volume Concreto</t>
  </si>
  <si>
    <t>Area de Forma</t>
  </si>
  <si>
    <t>m³</t>
  </si>
  <si>
    <t xml:space="preserve">Ferro </t>
  </si>
  <si>
    <t>Fundações</t>
  </si>
  <si>
    <t>concretagem</t>
  </si>
  <si>
    <t>Vol. Reaterro</t>
  </si>
  <si>
    <t>Vol. de Escavação</t>
  </si>
  <si>
    <t>Area acerto de solo</t>
  </si>
  <si>
    <t>60 DIAS</t>
  </si>
  <si>
    <t>CONSTRUÇÃO E REFORMA DE EDIFÍCIOS</t>
  </si>
  <si>
    <t>1º Quartil</t>
  </si>
  <si>
    <t>Médio</t>
  </si>
  <si>
    <t>3º Quartil</t>
  </si>
  <si>
    <t>**ISS - Do  município pelo Código Tributário Municipal - Lei Nº 569/2013</t>
  </si>
  <si>
    <t xml:space="preserve">BDI = </t>
  </si>
  <si>
    <t>( 1 + AC + S + R + G ) ( 1 + DF ) ( 1 + L )</t>
  </si>
  <si>
    <t>(1-I)</t>
  </si>
  <si>
    <t>**ISS -  Imposto Sobre Serviços</t>
  </si>
  <si>
    <t>ISS - Do município</t>
  </si>
  <si>
    <t>% SOBRE MÃO DE OBRA</t>
  </si>
  <si>
    <t>COMPOSIÇÃO IV</t>
  </si>
  <si>
    <t>mont e desm</t>
  </si>
  <si>
    <t xml:space="preserve">COMPOSIÇÃO II </t>
  </si>
  <si>
    <t xml:space="preserve">PLACA DE OBRA EM CHAPA DE ACO GALVANIZADO </t>
  </si>
  <si>
    <t>SARRAFO DE MADEIRA NAO APARELHADA *2,5 X 7* CM, MACARANDUBA, ANGELIM OU EQUIVALENTE DA REGIAO</t>
  </si>
  <si>
    <t>M</t>
  </si>
  <si>
    <t>1,0000000</t>
  </si>
  <si>
    <t>PONTALETE DE MADEIRA NAO APARELHADA *7,5 X 7,5* CM (3 X 3 ") PINUS, MISTA OU EQUIVALENTE DA REGIAO</t>
  </si>
  <si>
    <t>4,0000000</t>
  </si>
  <si>
    <t>PLACA DE OBRA (PARA CONSTRUCAO CIVIL) EM CHAPA GALVANIZADA *N. 22*, ADESIVADA, DE *2,0 X 1,125* M</t>
  </si>
  <si>
    <t>M2</t>
  </si>
  <si>
    <t>PREGO DE ACO POLIDO COM CABECA 18 X 30 (2 3/4 X 10)</t>
  </si>
  <si>
    <t>KG</t>
  </si>
  <si>
    <t>0,1100000</t>
  </si>
  <si>
    <t>CARPINTEIRO DE FORMAS COM ENCARGOS COMPLEMENTARES</t>
  </si>
  <si>
    <t>2,0000000</t>
  </si>
  <si>
    <t>CONCRETO MAGRO PARA LASTRO, TRAÇO 1:4,5:4,5 (CIMENTO/ AREIA MÉDIA/ BRITA 1)  - PREPARO MECÂNICO COM BETONEIRA 400 L. AF_07/2016</t>
  </si>
  <si>
    <t>M3</t>
  </si>
  <si>
    <t>0,0100000</t>
  </si>
  <si>
    <t>Código 73900/5 - Catálogo de Composições Análiticas - SINAPI/MT/Janeiro-2020</t>
  </si>
  <si>
    <t>ELETRODO REVESTIDO AWS - E7018, DIAMETRO IGUAL A 4,00 MM</t>
  </si>
  <si>
    <t>SERRALHEIRO COM ENCARGOS COMPLEMENTARES</t>
  </si>
  <si>
    <t>SOLDADOR COM ENCARGOS COMPLEMENTARES</t>
  </si>
  <si>
    <t xml:space="preserve">(Diâmetro de 0,60m, multiplicado por 1,50m de altura, multiplicado por 30 pilares) </t>
  </si>
  <si>
    <t xml:space="preserve">REFORMA DE PRÉDIO PÚBLICO - ESCOLA MUNICIPAL ANTONIO PELISSARI </t>
  </si>
  <si>
    <t>Ref.: Tabela de Serviços SINAPI (ABRIL/2022)
e/ou composições PiniTCPO</t>
  </si>
  <si>
    <t>Rua Japuará, Quadra 12, S/N, Distrito da Vila Atlântica</t>
  </si>
  <si>
    <t>98522 ALAMBRADO EM MOURÕES DE CONCRETO, COM TELA DE ARAME GALVANIZADO (INCLU M CR 154,89
SIVE MURETA EM CONCRETO). AF_05/2018</t>
  </si>
  <si>
    <t>92543 TRAMA DE MADEIRA COMPOSTA POR TERÇAS PARA TELHADOS DE ATÉ 2 ÁGUAS PARA M2 CR 20,24
TELHA ONDULADA DE FIBROCIMENTO, METÁLICA, PLÁSTICA OU TERMOACÚSTICA,
INCLUSO TRANSPORTE VERTICAL. AF_07/2019</t>
  </si>
  <si>
    <t>92563 FABRICAÇÃO E INSTALAÇÃO DE TESOURA INTEIRA EM MADEIRA NÃO APARELHADA, UN AS 2.565,32
VÃO DE 11 M, PARA TELHA ONDULADA DE FIBROCIMENTO, METÁLICA, PLÁSTICA O
U TERMOACÚSTICA, INCLUSO IÇAMENTO. AF_07/2019</t>
  </si>
  <si>
    <t>97647 REMOÇÃO DE TELHAS, DE FIBROCIMENTO, METÁLICA E CERÂMICA, DE FORMA MANU M2 CR 2,81
AL, SEM REAPROVEITAMENTO. AF_12/2017</t>
  </si>
  <si>
    <t>97652 REMOÇÃO DE TESOURAS DE MADEIRA, COM VÃO MAIOR OU IGUAL A 8M, DE FORMA UN CR 151,57
MANUAL, SEM REAPROVEITAMENTO. AF_12/2017</t>
  </si>
  <si>
    <t>97640 REMOÇÃO DE FORROS DE DRYWALL, PVC E FIBROMINERAL, DE FORMA MANUAL, SEM M2 CR 1,31
REAPROVEITAMENTO. AF_12/2017</t>
  </si>
  <si>
    <t>97634 DEMOLIÇÃO DE REVESTIMENTO CERÂMICO, DE FORMA MECANIZADA COM MARTELETE, M2 CR 9,68
SEM REAPROVEITAMENTO. AF_12/2017</t>
  </si>
  <si>
    <t>87262 REVESTIMENTO CERÂMICO PARA PISO COM PLACAS TIPO PORCELANATO DE DIMENSÕ M2 CR 152,43
ES 60X60 CM APLICADA EM AMBIENTES DE ÁREA ENTRE 5 M² E 10 M². AF_06/20
14</t>
  </si>
  <si>
    <t>97644 REMOÇÃO DE PORTAS, DE FORMA MANUAL, SEM REAPROVEITAMENTO. AF_12/2017 M2 C 7,54</t>
  </si>
  <si>
    <t>PINTURAS</t>
  </si>
  <si>
    <t xml:space="preserve">ESTRUTURAS METÁLICAS </t>
  </si>
  <si>
    <t>PAREDES INTERNAS EXTERNAS</t>
  </si>
  <si>
    <t>ESQUADRIAS</t>
  </si>
  <si>
    <t>PINTURA TINTA DE ACABAMENTO (PIGMENTADA) ESMALTE SINTÉTICO FOSCO EM MADEIRA, 2 DEMÃOS.</t>
  </si>
  <si>
    <t xml:space="preserve">PINTURA COM TINTA ACRÍLICA DE ACABAMENTO PULVERIZADA SOBRE SUPERFÍCIES METÁLICAS (EXCETO PERFIL) EXECUTADO EM OBRA (02 DEMÃOS). </t>
  </si>
  <si>
    <t>102491 PINTURA DE PISO COM TINTA ACRÍLICA, APLICAÇÃO MANUAL, 2 DEMÃOS, INCLUS M2 CR 16,39
O FUNDO PREPARADOR. AF_05/2021</t>
  </si>
  <si>
    <t>95305 TEXTURA ACRÍLICA, APLICAÇÃO MANUAL EM PAREDE, UMA DEMÃO. AF_09/2016 M2 CR 12,33</t>
  </si>
  <si>
    <t>88489 APLICAÇÃO MANUAL DE PINTURA COM TINTA LÁTEX ACRÍLICA EM PAREDES, DUAS M2 C 13,72
DEMÃOS. AF_06/2014</t>
  </si>
  <si>
    <t>97650 REMOÇÃO DE TRAMA DE MADEIRA PARA COBERTURA, DE FORMA MANUAL, SEM REAPR M2 CR 6,03
OVEITAMENTO. AF_12/2017</t>
  </si>
  <si>
    <t>FORRAMENTO</t>
  </si>
  <si>
    <t>**COMPOSIÇÃO BASEADA NA TCPO 13ª EDIÇÃO - CÓDIGO 08 820.8.3.3. ESTA COMPOSIÇÃO VISA SUPRIR A IMPOSSIBILIDADE DE ELABORAÇÃO DE COMPOSIÇÃO EXATA PARA TODAS AS DIMENSÕES POSSÍVEIS PARA ESTE SERVIÇO, AUXILIANDO ASSIM O ORÇAMENTISTA A ESTIMAR O CUSTO PARA QUALQUER DIMENSÃO DE ESQUADRIA DESEJADA.</t>
  </si>
  <si>
    <t>MATERIAIS</t>
  </si>
  <si>
    <t>PEDREIRO COM ENCARGOS COMPLEMENTARES</t>
  </si>
  <si>
    <t>102180 INSTALAÇÃO DE VIDRO TEMPERADO, E = 8 MM, ENCAIXADO EM PERFIL U. AF_01/ M2 AS 458,83
2021_P</t>
  </si>
  <si>
    <t>JANELA EM VIDRO TEMPERADO 8 MM, DE CORRER COM ESTRUTURA EM ALUMÍNIO</t>
  </si>
  <si>
    <t>97663 REMOÇÃO DE LOUÇAS, DE FORMA MANUAL, SEM REAPROVEITAMENTO. AF_12/2017 UN C 10,06</t>
  </si>
  <si>
    <t>CALÇAMENTO INTENRO E EXTERNO</t>
  </si>
  <si>
    <t>PORTÃO EM TUBO DE AÇO GALVANIZADO COM QUADRO DE DN 1 1/4", E BARRAS VERTICAIS DE DN 1" A CADA 10CM</t>
  </si>
  <si>
    <t>TUBO ACO GALVANIZADO COM COSTURA, CLASSE LEVE, DN 25 MM (
1"), E = 2,65 MM, *2,11* KG/M (NBR 5580)</t>
  </si>
  <si>
    <t>TUBO ACO GALVANIZADO COM COSTURA, CLASSE LEVE, DN 32 MM ( 1
1/4"), E = 2,65 MM, *2,71* KG/M (NBR 5580)</t>
  </si>
  <si>
    <t>ARGAMASSA TRAÇO 1:4 (EM VOLUME DE CIMENTO E AREIA MÉDIA
ÚMIDA), PREPARO MECÂNICO COM BETONEIRA 600 L. AF_08/2019</t>
  </si>
  <si>
    <t>**COMPOSIÇÃO BASEADA NO ORSE, CÓD. 08702 - (NOVEMBRO/2021)</t>
  </si>
  <si>
    <t xml:space="preserve">PISOS E CALÇAMENTOS </t>
  </si>
  <si>
    <t>97622 DEMOLIÇÃO DE ALVENARIA DE BLOCO FURADO, DE FORMA MANUAL, SEM REAPROVEI M3 C 46,46
TAMENTO. AF_12/2017</t>
  </si>
  <si>
    <t>ALMABRADO E PORTÃO</t>
  </si>
  <si>
    <t>90 DIAS</t>
  </si>
  <si>
    <t xml:space="preserve">SERVIÇOS PRELIMINARES, DEMOLIÇÕES, RETIRADAS E  MOVIMENTAÇÃO DE TERRA </t>
  </si>
  <si>
    <t xml:space="preserve">INSTALAÇÕES SANITÁRIAS </t>
  </si>
  <si>
    <t>4HR*5DIAS*4SEMANAS*1MESES</t>
  </si>
  <si>
    <t>2HR*3DIAS*4SEMANAS*1MESES</t>
  </si>
  <si>
    <t>MESTRE DE OBRAS COM ENCARGOS COMPLEMENTARES: 4HR*5DIAS*4SEMANAS*1MESES ENGENHEIRO CIVIL DE OBRA JUNIOR COM ENCARGOS COMPLEMENTARES: 2HR*3DIAS*4SEMANAS*1MESES</t>
  </si>
  <si>
    <t>Area de Limpeza para nivelamneto do perimetro a ser instalado o alambrado</t>
  </si>
  <si>
    <t>Conforme perimetro citado em croqui</t>
  </si>
  <si>
    <t>Conforme citado em croqui de alambrado.</t>
  </si>
  <si>
    <t xml:space="preserve">Conforme Planta de Cobertura </t>
  </si>
  <si>
    <t xml:space="preserve">Conforme Croqui de Reforma </t>
  </si>
  <si>
    <t>Placa de Obra - Modelo Prefeitura de Nova Santa Helena (2,50 metros x 5,0 metros)</t>
  </si>
  <si>
    <t>Nº</t>
  </si>
  <si>
    <t>POSIÇÃO</t>
  </si>
  <si>
    <t>ALTURA</t>
  </si>
  <si>
    <t>LARGURA</t>
  </si>
  <si>
    <t>PEITORIL</t>
  </si>
  <si>
    <t>TIPOLOGIA A REMOVER</t>
  </si>
  <si>
    <t>TIPOLOGIA A EXECUTAR</t>
  </si>
  <si>
    <t>A</t>
  </si>
  <si>
    <t>B</t>
  </si>
  <si>
    <t>C</t>
  </si>
  <si>
    <t>D</t>
  </si>
  <si>
    <t>Secretaria</t>
  </si>
  <si>
    <t>sala de recurso</t>
  </si>
  <si>
    <t>sala de informatica</t>
  </si>
  <si>
    <t>sala dos professores</t>
  </si>
  <si>
    <t>Sala Infantil</t>
  </si>
  <si>
    <t>Sala de Aula 1</t>
  </si>
  <si>
    <t>Sala de Aula 2</t>
  </si>
  <si>
    <t>Sala de Aula 3</t>
  </si>
  <si>
    <t>Sala de Aula 4</t>
  </si>
  <si>
    <t>sala de Aula 5</t>
  </si>
  <si>
    <t>Sala de Aula 6</t>
  </si>
  <si>
    <t>Almoxarifado</t>
  </si>
  <si>
    <t>Cozinha</t>
  </si>
  <si>
    <t>Dispensa Cozinha</t>
  </si>
  <si>
    <t>Banheiro PNE</t>
  </si>
  <si>
    <t>Banheiro W.C.F</t>
  </si>
  <si>
    <t>Banheiro W.C.M</t>
  </si>
  <si>
    <t>E</t>
  </si>
  <si>
    <t>Gradil de Acesso Fundos</t>
  </si>
  <si>
    <t xml:space="preserve">Gradil de Acesso Principal </t>
  </si>
  <si>
    <t>F</t>
  </si>
  <si>
    <t>-</t>
  </si>
  <si>
    <t>Madeira - Oca</t>
  </si>
  <si>
    <t>Area</t>
  </si>
  <si>
    <t>Area de Pintura</t>
  </si>
  <si>
    <t xml:space="preserve">TABELA DE ESQUADRIAS </t>
  </si>
  <si>
    <t>*Esquadrias Janelas não quantificadas pois não necessitaram de reforma/manutenção/substituição.</t>
  </si>
  <si>
    <t>J1</t>
  </si>
  <si>
    <t>J2</t>
  </si>
  <si>
    <t>J3</t>
  </si>
  <si>
    <t>Janela Banheiro PNE</t>
  </si>
  <si>
    <t>Janela W.C.F</t>
  </si>
  <si>
    <t>Janela W.C.M</t>
  </si>
  <si>
    <t xml:space="preserve">Vidro temperado incolor 8mm esquaria aluminío </t>
  </si>
  <si>
    <t>Gradil Metálico</t>
  </si>
  <si>
    <t>G</t>
  </si>
  <si>
    <t>Gradil Janelas Sala de Informática</t>
  </si>
  <si>
    <t>* Areas de Granito na Cozinha</t>
  </si>
  <si>
    <t>92560 FABRICAÇÃO E INSTALAÇÃO DE TESOURA INTEIRA EM MADEIRA NÃO APARELHADA, UN AS 2.006,99
VÃO DE 8 M, PARA TELHA ONDULADA DE FIBROCIMENTO, METÁLICA, PLÁSTICA OU
TERMOACÚSTICA, INCLUSO IÇAMENTO. AF_07/2019</t>
  </si>
  <si>
    <t>100358 FABRICAÇÃO E INSTALAÇÃO DE MEIA TESOURA DE MADEIRA NÃO APARELHADA, COM UN AS 1.243,66
VÃO DE 4 M, PARA TELHA CERÂMICA OU DE CONCRETO, INCLUSO IÇAMENTO. AF_
07/2019</t>
  </si>
  <si>
    <t>100361 FABRICAÇÃO E INSTALAÇÃO DE MEIA TESOURA DE MADEIRA NÃO APARELHADA, COM UN AS 1.798,43
VÃO DE 7 M, PARA TELHA CERÂMICA OU DE CONCRETO, INCLUSO IÇAMENTO. AF_
07/2019</t>
  </si>
  <si>
    <t>92564 FABRICAÇÃO E INSTALAÇÃO DE TESOURA INTEIRA EM MADEIRA NÃO APARELHADA, UN AS 2.646,83
VÃO DE 12 M, PARA TELHA ONDULADA DE FIBROCIMENTO, METÁLICA, PLÁSTICA O
U TERMOACÚSTICA, INCLUSO IÇAMENTO. AF_07/2019</t>
  </si>
  <si>
    <t>100359 FABRICAÇÃO E INSTALAÇÃO DE MEIA TESOURA DE MADEIRA NÃO APARELHADA, COM UN AS 1.309,54
VÃO DE 5 M, PARA TELHA CERÂMICA OU DE CONCRETO, INCLUSO IÇAMENTO. AF_
07/2019</t>
  </si>
  <si>
    <t>* CADA SALA POSSUI 4 JANELAS DE 2mx1,10</t>
  </si>
  <si>
    <t>90841 KIT DE PORTA DE MADEIRA PARA PINTURA, SEMI-OCA (LEVE OU MÉDIA), PADRÃO UN CR 818,26
MÉDIO, 60X210CM, ESPESSURA DE 3,5CM, ITENS INCLUSOS: DOBRADIÇAS, MONT
AGEM E INSTALAÇÃO DO BATENTE, FECHADURA COM EXECUÇÃO DO FURO - FORNECI
MENTO E INSTALAÇÃO. AF_12/2019</t>
  </si>
  <si>
    <t>90842 KIT DE PORTA DE MADEIRA PARA PINTURA, SEMI-OCA (LEVE OU MÉDIA), PADRÃO UN CR 825,45
MÉDIO, 70X210CM, ESPESSURA DE 3,5CM, ITENS INCLUSOS: DOBRADIÇAS, MONT
AGEM E INSTALAÇÃO DO BATENTE, FECHADURA COM EXECUÇÃO DO FURO - FORNECI
MENTO E INSTALAÇÃO. AF_12/2019</t>
  </si>
  <si>
    <t>90843 KIT DE PORTA DE MADEIRA PARA PINTURA, SEMI-OCA (LEVE OU MÉDIA), PADRÃO UN CR 868,35
MÉDIO, 80X210CM, ESPESSURA DE 3,5CM, ITENS INCLUSOS: DOBRADIÇAS, MONT
AGEM E INSTALAÇÃO DO BATENTE, FECHADURA COM EXECUÇÃO DO FURO - FORNECI
MENTO E INSTALAÇÃO. AF_12/2019</t>
  </si>
  <si>
    <t>90844 KIT DE PORTA DE MADEIRA PARA PINTURA, SEMI-OCA (LEVE OU MÉDIA), PADRÃO UN CR 942,60
MÉDIO, 90X210CM, ESPESSURA DE 3,5CM, ITENS INCLUSOS: DOBRADIÇAS, MONT
AGEM E INSTALAÇÃO DO BATENTE, FECHADURA COM EXECUÇÃO DO FURO - FORNECI
MENTO E INSTALAÇÃO. AF_12/2019</t>
  </si>
  <si>
    <t>95471 VASO SANITARIO SIFONADO CONVENCIONAL PARA PCD SEM FURO FRONTAL COM LO UN AS 710,69
UÇA BRANCA SEM ASSENTO - FORNECIMENTO E INSTALAÇÃO. AF_01/2020</t>
  </si>
  <si>
    <t>95469 VASO SANITARIO SIFONADO CONVENCIONAL COM LOUÇA BRANCA - FORNECIMENTO UN AS 279,41
E INSTALAÇÃO. AF_01/2020</t>
  </si>
  <si>
    <t>Local</t>
  </si>
  <si>
    <t>Perimetro</t>
  </si>
  <si>
    <t>Sala de Informática</t>
  </si>
  <si>
    <t>Sala dos Professores</t>
  </si>
  <si>
    <t>45.96</t>
  </si>
  <si>
    <t>Sala de Aula 5</t>
  </si>
  <si>
    <t>Almozarifado</t>
  </si>
  <si>
    <t>W.C.M</t>
  </si>
  <si>
    <t>W.C.F</t>
  </si>
  <si>
    <t>W.C PNE</t>
  </si>
  <si>
    <t>Janelas</t>
  </si>
  <si>
    <t xml:space="preserve">Vidro temperado incolor 10mm esquaria aluminío </t>
  </si>
  <si>
    <t>Area de Pintura Interna</t>
  </si>
  <si>
    <t>Paredes Internas</t>
  </si>
  <si>
    <t>vãos</t>
  </si>
  <si>
    <t>Area de Pintura Externa</t>
  </si>
  <si>
    <t>94994 EXECUÇÃO DE PASSEIO (CALÇADA) OU PISO DE CONCRETO COM CONCRETO MOLDADO M2 CR 114,90
IN LOCO, FEITO EM OBRA, ACABAMENTO CONVENCIONAL, ESPESSURA 8 CM, ARMA
DO. AF_07/2016</t>
  </si>
  <si>
    <t>94218 TELHAMENTO COM TELHA ESTRUTURAL DE FIBROCIMENTO E= 8 MM, COM ATÉ 2 ÁGU M2 CR 129,39
AS, INCLUSO IÇAMENTO. AF_07/2019_P</t>
  </si>
  <si>
    <t>94451 CUMEEIRA PARA TELHA DE FIBROCIMENTO ESTRUTURAL E = 6 MM, INCLUSO ACESS M CR 95,42
ÓRIOS DE FIXAÇÃO E IÇAMENTO. AF_07/2019</t>
  </si>
  <si>
    <t>103018 VÁLVULA DE DESCARGA METÁLICA, BASE 1 1/4", ACABAMENTO METALICO CROMADO UN CR 177,16
- FORNECIMENTO E INSTALAÇÃO. AF_08/2021</t>
  </si>
  <si>
    <t>97084 COMPACTAÇÃO MECÂNICA DE SOLO PARA EXECUÇÃO DE RADIER, PISO DE CONCRETO M2 AS 0,58
OU LAJE SOBRE SOLO, COM COMPACTADOR DE SOLOS TIPO PLACA VIBRATÓRIA. A
F_09/2021</t>
  </si>
  <si>
    <t>1.0</t>
  </si>
  <si>
    <t>1.1</t>
  </si>
  <si>
    <t>2.0</t>
  </si>
  <si>
    <t>5.5</t>
  </si>
  <si>
    <t>3.3</t>
  </si>
  <si>
    <t>2.2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</si>
  <si>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</si>
  <si>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</si>
  <si>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</si>
  <si>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</si>
  <si>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</si>
  <si>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</si>
  <si>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</si>
  <si>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</si>
  <si>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</si>
  <si>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3.0</t>
  </si>
  <si>
    <t>3.1</t>
  </si>
  <si>
    <t>3.2</t>
  </si>
  <si>
    <t>3.4</t>
  </si>
  <si>
    <t>3.5</t>
  </si>
  <si>
    <t>4.0</t>
  </si>
  <si>
    <t>4.1</t>
  </si>
  <si>
    <t>4.2</t>
  </si>
  <si>
    <t>5.0</t>
  </si>
  <si>
    <t>5.1</t>
  </si>
  <si>
    <t>5.2</t>
  </si>
  <si>
    <t>5.3</t>
  </si>
  <si>
    <t>5.4</t>
  </si>
  <si>
    <t>6.0</t>
  </si>
  <si>
    <t>7.1</t>
  </si>
  <si>
    <t>6.1</t>
  </si>
  <si>
    <t>6.2</t>
  </si>
  <si>
    <t>6.3</t>
  </si>
  <si>
    <t>7.0</t>
  </si>
  <si>
    <t>7.2</t>
  </si>
  <si>
    <t>7.3</t>
  </si>
  <si>
    <t>7.4</t>
  </si>
  <si>
    <t>7.5</t>
  </si>
  <si>
    <t>7.6</t>
  </si>
  <si>
    <t>7.7</t>
  </si>
  <si>
    <t>7.8</t>
  </si>
  <si>
    <t>7.9</t>
  </si>
  <si>
    <t>8.0</t>
  </si>
  <si>
    <t>8.1</t>
  </si>
  <si>
    <t>9.0</t>
  </si>
  <si>
    <t>9.1</t>
  </si>
  <si>
    <t>9.2</t>
  </si>
  <si>
    <t>9.3</t>
  </si>
  <si>
    <t>96116 FORRO EM RÉGUAS DE PVC, FRISADO, PARA AMBIENTES COMERCIAIS, INCLUSIVE M2 AS 79,57
ESTRUTURA DE FIXAÇÃO. AF_05/2017_P</t>
  </si>
  <si>
    <t>COMPOSIÇÃO V</t>
  </si>
  <si>
    <t>Conforme Planta de Pisos</t>
  </si>
  <si>
    <t xml:space="preserve">Substituição de 16 Portas de Madeira </t>
  </si>
  <si>
    <t xml:space="preserve">Area destinada a manutenção de placas soltas e recomposição das réguas PVC que sofrerem avarias durante a manutenção da cobertura </t>
  </si>
  <si>
    <t>Remoção de 3 vasos sanitários</t>
  </si>
  <si>
    <t xml:space="preserve">Demolição de Alvenaria para execução de 3 janelas de dimensões 60cm x 40cm </t>
  </si>
  <si>
    <t xml:space="preserve">Substituição  de Portas de Madeira </t>
  </si>
  <si>
    <t>Area de esquadria a instalar : 3 Unidades de 40cm x 60cm</t>
  </si>
  <si>
    <r>
      <t xml:space="preserve">Area de Pintura quantificada </t>
    </r>
    <r>
      <rPr>
        <i/>
        <sz val="7"/>
        <rFont val="Arial"/>
        <family val="2"/>
      </rPr>
      <t>inloco</t>
    </r>
  </si>
  <si>
    <t xml:space="preserve">Area de Pintura das Portas em madeira </t>
  </si>
  <si>
    <t>Area de Pintura dos Gradil metálicos exixtentes e portão a executar</t>
  </si>
  <si>
    <t xml:space="preserve">Conforme Planta de Pisos </t>
  </si>
  <si>
    <t xml:space="preserve">Serviço preliminar para execução de calçamento em concreto </t>
  </si>
  <si>
    <t>Instalação de vasos sanitários</t>
  </si>
  <si>
    <t xml:space="preserve">Instalação de Valvula de descarga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</si>
</sst>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R$&quot;* #,##0.00_-;\-&quot;R$&quot;* #,##0.00_-;_-&quot;R$&quot;* &quot;-&quot;??_-;_-@_-"/>
    <numFmt numFmtId="165" formatCode="dd/mm/yyyy;@"/>
    <numFmt numFmtId="166" formatCode="0.000"/>
    <numFmt numFmtId="167" formatCode="0.0000"/>
  </numFmts>
  <fonts count="50" x14ac:knownFonts="1">
    <font>
      <sz val="10"/>
      <color rgb="FF000000"/>
      <name val="Times New Roman"/>
      <charset val="204"/>
    </font>
    <font>
      <b/>
      <sz val="7"/>
      <name val="Arial"/>
      <family val="2"/>
    </font>
    <font>
      <sz val="6.5"/>
      <name val="Arial"/>
      <family val="2"/>
    </font>
    <font>
      <sz val="6.5"/>
      <color rgb="FF00000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5.5"/>
      <name val="Arial"/>
      <family val="2"/>
    </font>
    <font>
      <sz val="5.5"/>
      <name val="Arial"/>
      <family val="2"/>
    </font>
    <font>
      <sz val="5.5"/>
      <color rgb="FF000000"/>
      <name val="Arial"/>
      <family val="2"/>
    </font>
    <font>
      <b/>
      <sz val="5"/>
      <name val="Arial"/>
      <family val="2"/>
    </font>
    <font>
      <b/>
      <sz val="5.5"/>
      <color rgb="FF000000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b/>
      <sz val="9.5"/>
      <name val="Arial"/>
      <family val="2"/>
    </font>
    <font>
      <b/>
      <sz val="9.5"/>
      <color rgb="FF000000"/>
      <name val="Arial"/>
      <family val="2"/>
    </font>
    <font>
      <b/>
      <sz val="6"/>
      <color rgb="FF000000"/>
      <name val="Arial"/>
      <family val="2"/>
    </font>
    <font>
      <b/>
      <sz val="10.5"/>
      <color rgb="FF000000"/>
      <name val="Arial"/>
      <family val="2"/>
    </font>
    <font>
      <sz val="5"/>
      <color rgb="FF000000"/>
      <name val="Arial"/>
      <family val="2"/>
    </font>
    <font>
      <b/>
      <sz val="6"/>
      <name val="Calibri"/>
      <family val="2"/>
    </font>
    <font>
      <sz val="5.5"/>
      <name val="Arial"/>
      <family val="2"/>
    </font>
    <font>
      <b/>
      <sz val="5.5"/>
      <name val="Arial"/>
      <family val="2"/>
    </font>
    <font>
      <sz val="6"/>
      <name val="Arial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sz val="8"/>
      <name val="Times New Roman"/>
      <charset val="204"/>
    </font>
    <font>
      <b/>
      <sz val="8"/>
      <name val="Arial"/>
      <family val="2"/>
    </font>
    <font>
      <sz val="7"/>
      <name val="Arial"/>
      <family val="2"/>
    </font>
    <font>
      <sz val="7"/>
      <color rgb="FF000000"/>
      <name val="Times New Roman"/>
      <family val="1"/>
    </font>
    <font>
      <sz val="7"/>
      <color rgb="FF000000"/>
      <name val="Arial"/>
      <family val="2"/>
    </font>
    <font>
      <b/>
      <sz val="11"/>
      <name val="Arial"/>
      <family val="2"/>
    </font>
    <font>
      <b/>
      <sz val="7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8"/>
      <color theme="0"/>
      <name val="Arial"/>
      <family val="2"/>
    </font>
    <font>
      <b/>
      <sz val="5.5"/>
      <color rgb="FFC00000"/>
      <name val="Arial"/>
      <family val="2"/>
    </font>
    <font>
      <b/>
      <sz val="9"/>
      <color theme="0"/>
      <name val="Arial"/>
      <family val="2"/>
    </font>
    <font>
      <b/>
      <sz val="7"/>
      <color theme="0"/>
      <name val="Arial"/>
      <family val="2"/>
    </font>
    <font>
      <b/>
      <sz val="7"/>
      <color rgb="FFC00000"/>
      <name val="Arial"/>
      <family val="2"/>
    </font>
    <font>
      <b/>
      <sz val="14"/>
      <name val="Arial"/>
      <family val="2"/>
    </font>
    <font>
      <b/>
      <sz val="8"/>
      <color rgb="FF000000"/>
      <name val="Arial"/>
      <family val="2"/>
    </font>
    <font>
      <sz val="6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indexed="8"/>
      <name val="Calibri"/>
      <family val="2"/>
    </font>
    <font>
      <b/>
      <sz val="5"/>
      <color theme="1"/>
      <name val="Arial"/>
      <family val="2"/>
    </font>
    <font>
      <sz val="5.5"/>
      <color theme="1"/>
      <name val="Arial"/>
      <family val="2"/>
    </font>
    <font>
      <i/>
      <sz val="7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CE6F0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0" fontId="26" fillId="0" borderId="0"/>
  </cellStyleXfs>
  <cellXfs count="49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5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top"/>
    </xf>
    <xf numFmtId="1" fontId="10" fillId="0" borderId="16" xfId="0" applyNumberFormat="1" applyFont="1" applyFill="1" applyBorder="1" applyAlignment="1">
      <alignment horizontal="center" vertical="center" shrinkToFit="1"/>
    </xf>
    <xf numFmtId="164" fontId="0" fillId="0" borderId="0" xfId="0" applyNumberFormat="1" applyFill="1" applyBorder="1" applyAlignment="1">
      <alignment horizontal="left" vertical="top"/>
    </xf>
    <xf numFmtId="0" fontId="9" fillId="0" borderId="11" xfId="0" applyFont="1" applyFill="1" applyBorder="1" applyAlignment="1">
      <alignment horizontal="left" vertical="top" wrapText="1"/>
    </xf>
    <xf numFmtId="0" fontId="21" fillId="0" borderId="1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left" vertical="top"/>
    </xf>
    <xf numFmtId="2" fontId="10" fillId="0" borderId="16" xfId="0" applyNumberFormat="1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/>
    </xf>
    <xf numFmtId="164" fontId="10" fillId="0" borderId="48" xfId="1" applyFont="1" applyFill="1" applyBorder="1" applyAlignment="1">
      <alignment horizontal="center" vertical="center" shrinkToFit="1"/>
    </xf>
    <xf numFmtId="2" fontId="10" fillId="0" borderId="11" xfId="0" applyNumberFormat="1" applyFont="1" applyFill="1" applyBorder="1" applyAlignment="1">
      <alignment horizontal="center" vertical="center" shrinkToFit="1"/>
    </xf>
    <xf numFmtId="164" fontId="10" fillId="0" borderId="11" xfId="1" applyFont="1" applyFill="1" applyBorder="1" applyAlignment="1">
      <alignment horizontal="center" vertical="center" shrinkToFit="1"/>
    </xf>
    <xf numFmtId="164" fontId="10" fillId="0" borderId="16" xfId="1" applyFont="1" applyFill="1" applyBorder="1" applyAlignment="1">
      <alignment horizontal="center" vertical="center" shrinkToFit="1"/>
    </xf>
    <xf numFmtId="2" fontId="14" fillId="0" borderId="7" xfId="0" applyNumberFormat="1" applyFont="1" applyFill="1" applyBorder="1" applyAlignment="1">
      <alignment horizontal="right" vertical="top" shrinkToFit="1"/>
    </xf>
    <xf numFmtId="2" fontId="14" fillId="0" borderId="7" xfId="0" applyNumberFormat="1" applyFont="1" applyFill="1" applyBorder="1" applyAlignment="1">
      <alignment horizontal="right" vertical="center" shrinkToFit="1"/>
    </xf>
    <xf numFmtId="0" fontId="21" fillId="0" borderId="0" xfId="0" applyFont="1" applyFill="1" applyBorder="1" applyAlignment="1">
      <alignment horizontal="left" vertical="top" wrapText="1"/>
    </xf>
    <xf numFmtId="164" fontId="4" fillId="0" borderId="0" xfId="1" applyFont="1" applyFill="1" applyBorder="1" applyAlignment="1">
      <alignment vertical="top" wrapText="1"/>
    </xf>
    <xf numFmtId="165" fontId="12" fillId="0" borderId="21" xfId="0" applyNumberFormat="1" applyFont="1" applyFill="1" applyBorder="1" applyAlignment="1">
      <alignment horizontal="center" vertical="center" shrinkToFit="1"/>
    </xf>
    <xf numFmtId="165" fontId="12" fillId="0" borderId="26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/>
    <xf numFmtId="0" fontId="0" fillId="0" borderId="0" xfId="0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165" fontId="12" fillId="0" borderId="23" xfId="0" applyNumberFormat="1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0" fillId="5" borderId="42" xfId="0" applyFill="1" applyBorder="1" applyAlignment="1">
      <alignment horizontal="left" vertical="center" wrapText="1"/>
    </xf>
    <xf numFmtId="164" fontId="12" fillId="5" borderId="43" xfId="1" applyFont="1" applyFill="1" applyBorder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8" fillId="0" borderId="22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 wrapText="1"/>
    </xf>
    <xf numFmtId="164" fontId="12" fillId="0" borderId="0" xfId="1" applyFont="1" applyFill="1" applyBorder="1" applyAlignment="1">
      <alignment horizontal="left" vertical="center" shrinkToFit="1"/>
    </xf>
    <xf numFmtId="2" fontId="10" fillId="0" borderId="0" xfId="0" applyNumberFormat="1" applyFont="1" applyFill="1" applyBorder="1" applyAlignment="1">
      <alignment horizontal="center" vertical="center" shrinkToFit="1"/>
    </xf>
    <xf numFmtId="164" fontId="10" fillId="0" borderId="0" xfId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right" vertical="center" wrapText="1" indent="1"/>
    </xf>
    <xf numFmtId="1" fontId="10" fillId="0" borderId="0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5" fillId="0" borderId="0" xfId="0" applyFont="1" applyFill="1" applyBorder="1" applyAlignment="1">
      <alignment vertical="top"/>
    </xf>
    <xf numFmtId="10" fontId="31" fillId="0" borderId="16" xfId="0" applyNumberFormat="1" applyFont="1" applyFill="1" applyBorder="1" applyAlignment="1">
      <alignment horizontal="center" shrinkToFit="1"/>
    </xf>
    <xf numFmtId="164" fontId="31" fillId="0" borderId="61" xfId="1" applyFont="1" applyFill="1" applyBorder="1" applyAlignment="1">
      <alignment horizontal="right"/>
    </xf>
    <xf numFmtId="9" fontId="31" fillId="0" borderId="73" xfId="2" applyFont="1" applyFill="1" applyBorder="1" applyAlignment="1">
      <alignment horizontal="center"/>
    </xf>
    <xf numFmtId="1" fontId="17" fillId="4" borderId="47" xfId="0" applyNumberFormat="1" applyFont="1" applyFill="1" applyBorder="1" applyAlignment="1">
      <alignment horizontal="right" vertical="top" indent="2" shrinkToFit="1"/>
    </xf>
    <xf numFmtId="0" fontId="5" fillId="4" borderId="45" xfId="0" applyFont="1" applyFill="1" applyBorder="1" applyAlignment="1">
      <alignment horizontal="right" vertical="top" wrapText="1" indent="1"/>
    </xf>
    <xf numFmtId="0" fontId="37" fillId="0" borderId="0" xfId="0" applyFont="1" applyFill="1" applyBorder="1" applyAlignment="1">
      <alignment vertical="top" wrapText="1"/>
    </xf>
    <xf numFmtId="0" fontId="15" fillId="0" borderId="8" xfId="0" applyFont="1" applyFill="1" applyBorder="1" applyAlignment="1">
      <alignment horizontal="center" vertical="center" wrapText="1"/>
    </xf>
    <xf numFmtId="10" fontId="16" fillId="0" borderId="10" xfId="0" applyNumberFormat="1" applyFont="1" applyFill="1" applyBorder="1" applyAlignment="1">
      <alignment horizontal="left" vertical="center" shrinkToFit="1"/>
    </xf>
    <xf numFmtId="0" fontId="36" fillId="0" borderId="0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right" vertical="top" wrapText="1"/>
    </xf>
    <xf numFmtId="0" fontId="8" fillId="0" borderId="24" xfId="0" applyFont="1" applyFill="1" applyBorder="1" applyAlignment="1">
      <alignment horizontal="right" vertical="top" wrapText="1"/>
    </xf>
    <xf numFmtId="0" fontId="5" fillId="10" borderId="7" xfId="0" applyFont="1" applyFill="1" applyBorder="1" applyAlignment="1">
      <alignment horizontal="right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center" vertical="top"/>
    </xf>
    <xf numFmtId="0" fontId="29" fillId="0" borderId="16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center" vertical="center" wrapText="1"/>
    </xf>
    <xf numFmtId="2" fontId="31" fillId="10" borderId="16" xfId="0" applyNumberFormat="1" applyFont="1" applyFill="1" applyBorder="1" applyAlignment="1">
      <alignment horizontal="center" vertical="center" shrinkToFit="1"/>
    </xf>
    <xf numFmtId="0" fontId="29" fillId="0" borderId="30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10" fontId="3" fillId="0" borderId="27" xfId="0" applyNumberFormat="1" applyFont="1" applyFill="1" applyBorder="1" applyAlignment="1">
      <alignment horizontal="center" shrinkToFit="1"/>
    </xf>
    <xf numFmtId="10" fontId="3" fillId="0" borderId="16" xfId="0" applyNumberFormat="1" applyFont="1" applyFill="1" applyBorder="1" applyAlignment="1">
      <alignment horizontal="center" shrinkToFit="1"/>
    </xf>
    <xf numFmtId="10" fontId="3" fillId="0" borderId="50" xfId="0" applyNumberFormat="1" applyFont="1" applyFill="1" applyBorder="1" applyAlignment="1">
      <alignment horizontal="center" shrinkToFit="1"/>
    </xf>
    <xf numFmtId="0" fontId="9" fillId="0" borderId="25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right" vertical="center" wrapText="1"/>
    </xf>
    <xf numFmtId="0" fontId="28" fillId="0" borderId="24" xfId="0" applyFont="1" applyFill="1" applyBorder="1" applyAlignment="1">
      <alignment horizontal="right" vertical="center" wrapText="1"/>
    </xf>
    <xf numFmtId="9" fontId="31" fillId="10" borderId="58" xfId="2" applyFont="1" applyFill="1" applyBorder="1" applyAlignment="1">
      <alignment horizontal="center"/>
    </xf>
    <xf numFmtId="164" fontId="33" fillId="10" borderId="43" xfId="1" applyFont="1" applyFill="1" applyBorder="1" applyAlignment="1">
      <alignment horizontal="right"/>
    </xf>
    <xf numFmtId="10" fontId="31" fillId="8" borderId="72" xfId="0" applyNumberFormat="1" applyFont="1" applyFill="1" applyBorder="1" applyAlignment="1">
      <alignment horizontal="center" shrinkToFit="1"/>
    </xf>
    <xf numFmtId="9" fontId="31" fillId="8" borderId="58" xfId="2" applyFont="1" applyFill="1" applyBorder="1" applyAlignment="1">
      <alignment horizontal="center"/>
    </xf>
    <xf numFmtId="164" fontId="31" fillId="8" borderId="43" xfId="1" applyFont="1" applyFill="1" applyBorder="1" applyAlignment="1">
      <alignment horizontal="right"/>
    </xf>
    <xf numFmtId="0" fontId="11" fillId="8" borderId="51" xfId="0" applyFont="1" applyFill="1" applyBorder="1" applyAlignment="1">
      <alignment horizontal="center" vertical="center" wrapText="1"/>
    </xf>
    <xf numFmtId="0" fontId="11" fillId="8" borderId="52" xfId="0" applyFont="1" applyFill="1" applyBorder="1" applyAlignment="1">
      <alignment horizontal="center" vertical="center" wrapText="1"/>
    </xf>
    <xf numFmtId="0" fontId="11" fillId="8" borderId="53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right" vertical="top" wrapText="1" indent="2"/>
    </xf>
    <xf numFmtId="0" fontId="5" fillId="2" borderId="46" xfId="0" applyFont="1" applyFill="1" applyBorder="1" applyAlignment="1">
      <alignment horizontal="center" vertical="top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1" fontId="14" fillId="0" borderId="45" xfId="0" applyNumberFormat="1" applyFont="1" applyFill="1" applyBorder="1" applyAlignment="1">
      <alignment horizontal="center" vertical="top" shrinkToFit="1"/>
    </xf>
    <xf numFmtId="4" fontId="14" fillId="0" borderId="46" xfId="0" applyNumberFormat="1" applyFont="1" applyFill="1" applyBorder="1" applyAlignment="1">
      <alignment horizontal="right" vertical="top" shrinkToFit="1"/>
    </xf>
    <xf numFmtId="1" fontId="14" fillId="0" borderId="45" xfId="0" applyNumberFormat="1" applyFont="1" applyFill="1" applyBorder="1" applyAlignment="1">
      <alignment horizontal="center" vertical="center" shrinkToFit="1"/>
    </xf>
    <xf numFmtId="4" fontId="5" fillId="10" borderId="46" xfId="0" applyNumberFormat="1" applyFont="1" applyFill="1" applyBorder="1" applyAlignment="1">
      <alignment horizontal="right" vertical="top" wrapText="1"/>
    </xf>
    <xf numFmtId="0" fontId="13" fillId="0" borderId="54" xfId="0" applyFont="1" applyFill="1" applyBorder="1" applyAlignment="1">
      <alignment horizontal="center" vertical="top" wrapText="1"/>
    </xf>
    <xf numFmtId="0" fontId="13" fillId="0" borderId="55" xfId="0" applyFont="1" applyFill="1" applyBorder="1" applyAlignment="1">
      <alignment horizontal="center" vertical="top" wrapText="1"/>
    </xf>
    <xf numFmtId="0" fontId="23" fillId="0" borderId="55" xfId="0" applyFont="1" applyFill="1" applyBorder="1" applyAlignment="1">
      <alignment horizontal="left" vertical="top" wrapText="1" indent="5"/>
    </xf>
    <xf numFmtId="0" fontId="13" fillId="0" borderId="55" xfId="0" applyFont="1" applyFill="1" applyBorder="1" applyAlignment="1">
      <alignment horizontal="left" vertical="top" wrapText="1" indent="5"/>
    </xf>
    <xf numFmtId="0" fontId="13" fillId="0" borderId="56" xfId="0" applyFont="1" applyFill="1" applyBorder="1" applyAlignment="1">
      <alignment horizontal="left" vertical="top" wrapText="1" indent="5"/>
    </xf>
    <xf numFmtId="165" fontId="17" fillId="0" borderId="21" xfId="0" applyNumberFormat="1" applyFont="1" applyFill="1" applyBorder="1" applyAlignment="1">
      <alignment horizontal="center" vertical="center" shrinkToFit="1"/>
    </xf>
    <xf numFmtId="10" fontId="35" fillId="10" borderId="60" xfId="0" applyNumberFormat="1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left" vertical="top" wrapText="1"/>
    </xf>
    <xf numFmtId="164" fontId="0" fillId="0" borderId="0" xfId="0" applyNumberFormat="1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28" fillId="0" borderId="8" xfId="0" applyFont="1" applyBorder="1" applyAlignment="1">
      <alignment horizontal="center" vertical="center" wrapText="1"/>
    </xf>
    <xf numFmtId="10" fontId="42" fillId="0" borderId="10" xfId="0" applyNumberFormat="1" applyFont="1" applyBorder="1" applyAlignment="1">
      <alignment horizontal="left" vertical="center" shrinkToFit="1"/>
    </xf>
    <xf numFmtId="0" fontId="37" fillId="0" borderId="0" xfId="0" applyFont="1" applyAlignment="1">
      <alignment vertical="top" wrapText="1"/>
    </xf>
    <xf numFmtId="0" fontId="8" fillId="0" borderId="19" xfId="0" applyFont="1" applyBorder="1" applyAlignment="1">
      <alignment horizontal="right" vertical="top" wrapText="1"/>
    </xf>
    <xf numFmtId="165" fontId="12" fillId="0" borderId="21" xfId="0" applyNumberFormat="1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right" vertical="top" wrapText="1"/>
    </xf>
    <xf numFmtId="0" fontId="36" fillId="0" borderId="0" xfId="0" applyFont="1" applyAlignment="1">
      <alignment vertical="center" wrapText="1"/>
    </xf>
    <xf numFmtId="0" fontId="5" fillId="2" borderId="45" xfId="0" applyFont="1" applyFill="1" applyBorder="1" applyAlignment="1">
      <alignment horizontal="center" vertical="top" wrapText="1"/>
    </xf>
    <xf numFmtId="0" fontId="5" fillId="0" borderId="4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2" fontId="14" fillId="0" borderId="7" xfId="0" applyNumberFormat="1" applyFont="1" applyBorder="1" applyAlignment="1">
      <alignment horizontal="right" vertical="top" shrinkToFit="1"/>
    </xf>
    <xf numFmtId="2" fontId="43" fillId="0" borderId="7" xfId="0" applyNumberFormat="1" applyFont="1" applyBorder="1" applyAlignment="1">
      <alignment horizontal="right" vertical="top" shrinkToFit="1"/>
    </xf>
    <xf numFmtId="4" fontId="14" fillId="0" borderId="46" xfId="0" applyNumberFormat="1" applyFont="1" applyBorder="1" applyAlignment="1">
      <alignment horizontal="right" vertical="top" shrinkToFit="1"/>
    </xf>
    <xf numFmtId="0" fontId="25" fillId="0" borderId="0" xfId="0" applyFont="1" applyAlignment="1">
      <alignment horizontal="left" vertical="top"/>
    </xf>
    <xf numFmtId="1" fontId="14" fillId="0" borderId="45" xfId="0" applyNumberFormat="1" applyFont="1" applyBorder="1" applyAlignment="1">
      <alignment horizontal="center" vertical="center" shrinkToFit="1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166" fontId="14" fillId="0" borderId="7" xfId="0" applyNumberFormat="1" applyFont="1" applyBorder="1" applyAlignment="1">
      <alignment horizontal="right" vertical="top" shrinkToFit="1"/>
    </xf>
    <xf numFmtId="167" fontId="14" fillId="0" borderId="7" xfId="0" applyNumberFormat="1" applyFont="1" applyBorder="1" applyAlignment="1">
      <alignment horizontal="right" vertical="top" shrinkToFit="1"/>
    </xf>
    <xf numFmtId="0" fontId="33" fillId="10" borderId="39" xfId="0" applyFont="1" applyFill="1" applyBorder="1" applyAlignment="1">
      <alignment horizontal="center" vertical="center"/>
    </xf>
    <xf numFmtId="0" fontId="33" fillId="10" borderId="21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wrapText="1"/>
    </xf>
    <xf numFmtId="164" fontId="31" fillId="0" borderId="73" xfId="1" applyFont="1" applyFill="1" applyBorder="1" applyAlignment="1">
      <alignment horizontal="right"/>
    </xf>
    <xf numFmtId="164" fontId="31" fillId="8" borderId="58" xfId="1" applyFont="1" applyFill="1" applyBorder="1" applyAlignment="1">
      <alignment horizontal="right"/>
    </xf>
    <xf numFmtId="0" fontId="6" fillId="0" borderId="1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right" vertical="top" wrapText="1"/>
    </xf>
    <xf numFmtId="0" fontId="26" fillId="0" borderId="0" xfId="4"/>
    <xf numFmtId="0" fontId="45" fillId="0" borderId="0" xfId="4" applyFont="1" applyAlignment="1">
      <alignment vertical="center"/>
    </xf>
    <xf numFmtId="0" fontId="26" fillId="0" borderId="30" xfId="4" applyBorder="1" applyAlignment="1">
      <alignment vertical="center"/>
    </xf>
    <xf numFmtId="0" fontId="26" fillId="10" borderId="16" xfId="4" applyFill="1" applyBorder="1" applyAlignment="1">
      <alignment vertical="center"/>
    </xf>
    <xf numFmtId="0" fontId="26" fillId="0" borderId="31" xfId="4" applyBorder="1" applyAlignment="1">
      <alignment vertical="center"/>
    </xf>
    <xf numFmtId="0" fontId="13" fillId="0" borderId="45" xfId="0" applyFont="1" applyBorder="1" applyAlignment="1">
      <alignment horizontal="right" vertical="top" wrapText="1" indent="1"/>
    </xf>
    <xf numFmtId="10" fontId="26" fillId="0" borderId="30" xfId="2" applyNumberFormat="1" applyFont="1" applyBorder="1" applyAlignment="1">
      <alignment vertical="center"/>
    </xf>
    <xf numFmtId="10" fontId="26" fillId="10" borderId="16" xfId="2" applyNumberFormat="1" applyFont="1" applyFill="1" applyBorder="1" applyAlignment="1">
      <alignment vertical="center"/>
    </xf>
    <xf numFmtId="10" fontId="26" fillId="0" borderId="31" xfId="2" applyNumberFormat="1" applyFont="1" applyBorder="1" applyAlignment="1">
      <alignment vertical="center"/>
    </xf>
    <xf numFmtId="10" fontId="26" fillId="0" borderId="37" xfId="2" applyNumberFormat="1" applyFont="1" applyBorder="1" applyAlignment="1">
      <alignment vertical="center"/>
    </xf>
    <xf numFmtId="10" fontId="26" fillId="10" borderId="49" xfId="2" applyNumberFormat="1" applyFont="1" applyFill="1" applyBorder="1" applyAlignment="1">
      <alignment vertical="center"/>
    </xf>
    <xf numFmtId="10" fontId="26" fillId="0" borderId="38" xfId="2" applyNumberFormat="1" applyFont="1" applyBorder="1" applyAlignment="1">
      <alignment vertical="center"/>
    </xf>
    <xf numFmtId="10" fontId="45" fillId="0" borderId="0" xfId="2" applyNumberFormat="1" applyFont="1" applyAlignment="1">
      <alignment vertical="center"/>
    </xf>
    <xf numFmtId="10" fontId="26" fillId="0" borderId="66" xfId="2" applyNumberFormat="1" applyFont="1" applyBorder="1" applyAlignment="1">
      <alignment vertical="center"/>
    </xf>
    <xf numFmtId="10" fontId="26" fillId="0" borderId="72" xfId="2" applyNumberFormat="1" applyFont="1" applyBorder="1" applyAlignment="1">
      <alignment vertical="center"/>
    </xf>
    <xf numFmtId="10" fontId="26" fillId="0" borderId="63" xfId="2" applyNumberFormat="1" applyFont="1" applyBorder="1" applyAlignment="1">
      <alignment vertical="center"/>
    </xf>
    <xf numFmtId="0" fontId="45" fillId="0" borderId="19" xfId="4" applyFont="1" applyBorder="1"/>
    <xf numFmtId="0" fontId="46" fillId="0" borderId="20" xfId="4" applyFont="1" applyBorder="1" applyAlignment="1">
      <alignment vertical="center" wrapText="1"/>
    </xf>
    <xf numFmtId="0" fontId="45" fillId="0" borderId="20" xfId="4" applyFont="1" applyBorder="1"/>
    <xf numFmtId="0" fontId="45" fillId="0" borderId="21" xfId="4" applyFont="1" applyBorder="1"/>
    <xf numFmtId="0" fontId="45" fillId="0" borderId="22" xfId="4" applyFont="1" applyBorder="1"/>
    <xf numFmtId="0" fontId="45" fillId="0" borderId="23" xfId="4" applyFont="1" applyBorder="1"/>
    <xf numFmtId="0" fontId="46" fillId="0" borderId="0" xfId="4" applyFont="1" applyAlignment="1">
      <alignment horizontal="right" vertical="center"/>
    </xf>
    <xf numFmtId="40" fontId="45" fillId="0" borderId="0" xfId="4" applyNumberFormat="1" applyFont="1" applyAlignment="1">
      <alignment horizontal="center" vertical="center"/>
    </xf>
    <xf numFmtId="0" fontId="45" fillId="0" borderId="0" xfId="4" applyFont="1" applyAlignment="1">
      <alignment horizontal="left" vertical="center"/>
    </xf>
    <xf numFmtId="0" fontId="45" fillId="0" borderId="0" xfId="4" applyFont="1"/>
    <xf numFmtId="10" fontId="45" fillId="0" borderId="41" xfId="4" applyNumberFormat="1" applyFont="1" applyBorder="1" applyAlignment="1">
      <alignment horizontal="center" vertical="center"/>
    </xf>
    <xf numFmtId="0" fontId="45" fillId="0" borderId="0" xfId="4" applyFont="1" applyAlignment="1">
      <alignment horizontal="left"/>
    </xf>
    <xf numFmtId="9" fontId="45" fillId="0" borderId="41" xfId="4" applyNumberFormat="1" applyFont="1" applyBorder="1" applyAlignment="1">
      <alignment horizontal="center" vertical="center"/>
    </xf>
    <xf numFmtId="0" fontId="45" fillId="0" borderId="24" xfId="4" applyFont="1" applyBorder="1"/>
    <xf numFmtId="9" fontId="45" fillId="0" borderId="25" xfId="4" applyNumberFormat="1" applyFont="1" applyBorder="1" applyAlignment="1">
      <alignment horizontal="center" vertical="center"/>
    </xf>
    <xf numFmtId="0" fontId="45" fillId="0" borderId="25" xfId="4" applyFont="1" applyBorder="1" applyAlignment="1">
      <alignment horizontal="left" vertical="center"/>
    </xf>
    <xf numFmtId="0" fontId="45" fillId="0" borderId="25" xfId="4" applyFont="1" applyBorder="1"/>
    <xf numFmtId="0" fontId="45" fillId="0" borderId="26" xfId="4" applyFont="1" applyBorder="1"/>
    <xf numFmtId="0" fontId="6" fillId="0" borderId="12" xfId="0" applyFont="1" applyFill="1" applyBorder="1" applyAlignment="1">
      <alignment horizontal="right" vertical="top" wrapText="1"/>
    </xf>
    <xf numFmtId="10" fontId="7" fillId="0" borderId="15" xfId="0" applyNumberFormat="1" applyFont="1" applyFill="1" applyBorder="1" applyAlignment="1">
      <alignment horizontal="center" vertical="top" shrinkToFit="1"/>
    </xf>
    <xf numFmtId="0" fontId="28" fillId="0" borderId="12" xfId="0" applyFont="1" applyFill="1" applyBorder="1" applyAlignment="1">
      <alignment horizontal="center" vertical="top" wrapText="1"/>
    </xf>
    <xf numFmtId="4" fontId="0" fillId="0" borderId="0" xfId="0" applyNumberFormat="1" applyFill="1" applyBorder="1" applyAlignment="1">
      <alignment horizontal="left" vertical="top"/>
    </xf>
    <xf numFmtId="1" fontId="14" fillId="0" borderId="45" xfId="0" applyNumberFormat="1" applyFont="1" applyBorder="1" applyAlignment="1">
      <alignment horizontal="center" vertical="top" shrinkToFit="1"/>
    </xf>
    <xf numFmtId="0" fontId="24" fillId="0" borderId="0" xfId="0" applyFont="1" applyAlignment="1">
      <alignment horizontal="left" vertical="top"/>
    </xf>
    <xf numFmtId="0" fontId="39" fillId="6" borderId="35" xfId="0" applyFont="1" applyFill="1" applyBorder="1" applyAlignment="1">
      <alignment horizontal="right" vertical="top" wrapText="1" indent="4"/>
    </xf>
    <xf numFmtId="0" fontId="9" fillId="0" borderId="0" xfId="0" applyFont="1" applyFill="1" applyBorder="1" applyAlignment="1">
      <alignment horizontal="left" vertical="top" wrapText="1"/>
    </xf>
    <xf numFmtId="0" fontId="8" fillId="5" borderId="19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left" vertical="center" wrapText="1"/>
    </xf>
    <xf numFmtId="164" fontId="12" fillId="5" borderId="21" xfId="1" applyFont="1" applyFill="1" applyBorder="1" applyAlignment="1">
      <alignment horizontal="left" vertical="center" shrinkToFit="1"/>
    </xf>
    <xf numFmtId="0" fontId="11" fillId="11" borderId="0" xfId="0" applyFont="1" applyFill="1" applyBorder="1" applyAlignment="1">
      <alignment vertical="top" wrapText="1"/>
    </xf>
    <xf numFmtId="0" fontId="11" fillId="11" borderId="22" xfId="0" applyFont="1" applyFill="1" applyBorder="1" applyAlignment="1">
      <alignment vertical="top" wrapText="1"/>
    </xf>
    <xf numFmtId="0" fontId="11" fillId="11" borderId="23" xfId="0" applyFont="1" applyFill="1" applyBorder="1" applyAlignment="1">
      <alignment vertical="top" wrapText="1"/>
    </xf>
    <xf numFmtId="164" fontId="19" fillId="0" borderId="0" xfId="0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1" fontId="10" fillId="0" borderId="16" xfId="0" applyNumberFormat="1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left" vertical="top" wrapText="1"/>
    </xf>
    <xf numFmtId="0" fontId="8" fillId="5" borderId="24" xfId="0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left" vertical="center" wrapText="1"/>
    </xf>
    <xf numFmtId="164" fontId="12" fillId="5" borderId="26" xfId="1" applyFont="1" applyFill="1" applyBorder="1" applyAlignment="1">
      <alignment horizontal="left" vertical="center" shrinkToFit="1"/>
    </xf>
    <xf numFmtId="0" fontId="9" fillId="0" borderId="30" xfId="0" applyFont="1" applyBorder="1" applyAlignment="1">
      <alignment horizontal="center" vertical="center" wrapText="1"/>
    </xf>
    <xf numFmtId="164" fontId="10" fillId="0" borderId="31" xfId="1" applyFont="1" applyFill="1" applyBorder="1" applyAlignment="1">
      <alignment horizontal="center" vertical="center" shrinkToFit="1"/>
    </xf>
    <xf numFmtId="0" fontId="9" fillId="0" borderId="37" xfId="0" applyFont="1" applyFill="1" applyBorder="1" applyAlignment="1">
      <alignment horizontal="center" vertical="center" wrapText="1"/>
    </xf>
    <xf numFmtId="1" fontId="10" fillId="0" borderId="49" xfId="0" applyNumberFormat="1" applyFont="1" applyFill="1" applyBorder="1" applyAlignment="1">
      <alignment horizontal="center" vertical="center" shrinkToFit="1"/>
    </xf>
    <xf numFmtId="0" fontId="9" fillId="0" borderId="49" xfId="0" applyFont="1" applyFill="1" applyBorder="1" applyAlignment="1">
      <alignment horizontal="left" vertical="top" wrapText="1"/>
    </xf>
    <xf numFmtId="0" fontId="9" fillId="0" borderId="49" xfId="0" applyFont="1" applyFill="1" applyBorder="1" applyAlignment="1">
      <alignment horizontal="center" vertical="center" wrapText="1"/>
    </xf>
    <xf numFmtId="164" fontId="10" fillId="0" borderId="49" xfId="1" applyFont="1" applyFill="1" applyBorder="1" applyAlignment="1">
      <alignment horizontal="center" vertical="center" shrinkToFit="1"/>
    </xf>
    <xf numFmtId="164" fontId="10" fillId="0" borderId="38" xfId="1" applyFont="1" applyFill="1" applyBorder="1" applyAlignment="1">
      <alignment horizontal="center" vertical="center" shrinkToFit="1"/>
    </xf>
    <xf numFmtId="0" fontId="8" fillId="5" borderId="42" xfId="0" applyFont="1" applyFill="1" applyBorder="1" applyAlignment="1">
      <alignment vertical="center" wrapText="1"/>
    </xf>
    <xf numFmtId="0" fontId="8" fillId="5" borderId="25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left" vertical="center"/>
    </xf>
    <xf numFmtId="0" fontId="1" fillId="12" borderId="35" xfId="0" applyFont="1" applyFill="1" applyBorder="1" applyAlignment="1">
      <alignment horizontal="right" vertical="top" wrapText="1" indent="4"/>
    </xf>
    <xf numFmtId="0" fontId="2" fillId="0" borderId="28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top"/>
    </xf>
    <xf numFmtId="0" fontId="26" fillId="0" borderId="0" xfId="4" applyBorder="1"/>
    <xf numFmtId="10" fontId="26" fillId="0" borderId="0" xfId="2" applyNumberFormat="1" applyFont="1" applyBorder="1"/>
    <xf numFmtId="0" fontId="26" fillId="0" borderId="0" xfId="4" applyBorder="1" applyAlignment="1"/>
    <xf numFmtId="2" fontId="48" fillId="0" borderId="16" xfId="0" applyNumberFormat="1" applyFont="1" applyFill="1" applyBorder="1" applyAlignment="1">
      <alignment horizontal="center" vertical="center" shrinkToFit="1"/>
    </xf>
    <xf numFmtId="2" fontId="48" fillId="0" borderId="16" xfId="0" applyNumberFormat="1" applyFont="1" applyBorder="1" applyAlignment="1">
      <alignment horizontal="center" vertical="center" shrinkToFit="1"/>
    </xf>
    <xf numFmtId="2" fontId="48" fillId="0" borderId="49" xfId="0" applyNumberFormat="1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91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9" fillId="0" borderId="49" xfId="0" applyFont="1" applyFill="1" applyBorder="1" applyAlignment="1">
      <alignment horizontal="center" vertical="center" wrapText="1"/>
    </xf>
    <xf numFmtId="2" fontId="31" fillId="10" borderId="49" xfId="0" applyNumberFormat="1" applyFont="1" applyFill="1" applyBorder="1" applyAlignment="1">
      <alignment horizontal="center" vertical="center" shrinkToFit="1"/>
    </xf>
    <xf numFmtId="0" fontId="29" fillId="0" borderId="3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left" wrapText="1"/>
    </xf>
    <xf numFmtId="0" fontId="2" fillId="0" borderId="33" xfId="0" applyFont="1" applyFill="1" applyBorder="1" applyAlignment="1">
      <alignment horizontal="left" wrapText="1"/>
    </xf>
    <xf numFmtId="0" fontId="2" fillId="0" borderId="34" xfId="0" applyFont="1" applyFill="1" applyBorder="1" applyAlignment="1">
      <alignment horizontal="left" wrapText="1"/>
    </xf>
    <xf numFmtId="164" fontId="3" fillId="0" borderId="50" xfId="1" applyFont="1" applyFill="1" applyBorder="1" applyAlignment="1">
      <alignment horizontal="left" shrinkToFit="1"/>
    </xf>
    <xf numFmtId="164" fontId="3" fillId="0" borderId="89" xfId="1" applyFont="1" applyFill="1" applyBorder="1" applyAlignment="1">
      <alignment horizontal="left" shrinkToFit="1"/>
    </xf>
    <xf numFmtId="0" fontId="0" fillId="6" borderId="41" xfId="0" applyFill="1" applyBorder="1" applyAlignment="1">
      <alignment horizontal="left" wrapText="1"/>
    </xf>
    <xf numFmtId="0" fontId="0" fillId="6" borderId="42" xfId="0" applyFill="1" applyBorder="1" applyAlignment="1">
      <alignment horizontal="left" wrapText="1"/>
    </xf>
    <xf numFmtId="0" fontId="0" fillId="6" borderId="43" xfId="0" applyFill="1" applyBorder="1" applyAlignment="1">
      <alignment horizontal="left" wrapText="1"/>
    </xf>
    <xf numFmtId="0" fontId="0" fillId="0" borderId="2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2" fillId="0" borderId="57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center" wrapText="1" indent="3"/>
    </xf>
    <xf numFmtId="0" fontId="5" fillId="0" borderId="9" xfId="0" applyFont="1" applyFill="1" applyBorder="1" applyAlignment="1">
      <alignment horizontal="left" vertical="center" wrapText="1" indent="3"/>
    </xf>
    <xf numFmtId="0" fontId="5" fillId="0" borderId="10" xfId="0" applyFont="1" applyFill="1" applyBorder="1" applyAlignment="1">
      <alignment horizontal="left" vertical="center" wrapText="1" indent="3"/>
    </xf>
    <xf numFmtId="10" fontId="42" fillId="0" borderId="15" xfId="0" applyNumberFormat="1" applyFont="1" applyFill="1" applyBorder="1" applyAlignment="1">
      <alignment horizontal="left" vertical="top" indent="2" shrinkToFit="1"/>
    </xf>
    <xf numFmtId="10" fontId="42" fillId="0" borderId="13" xfId="0" applyNumberFormat="1" applyFont="1" applyFill="1" applyBorder="1" applyAlignment="1">
      <alignment horizontal="left" vertical="top" indent="2" shrinkToFit="1"/>
    </xf>
    <xf numFmtId="0" fontId="40" fillId="2" borderId="41" xfId="0" applyFont="1" applyFill="1" applyBorder="1" applyAlignment="1">
      <alignment horizontal="center" vertical="center" wrapText="1"/>
    </xf>
    <xf numFmtId="0" fontId="40" fillId="2" borderId="42" xfId="0" applyFont="1" applyFill="1" applyBorder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36" fillId="7" borderId="41" xfId="0" applyFont="1" applyFill="1" applyBorder="1" applyAlignment="1">
      <alignment horizontal="center" vertical="center" wrapText="1"/>
    </xf>
    <xf numFmtId="0" fontId="36" fillId="7" borderId="42" xfId="0" applyFont="1" applyFill="1" applyBorder="1" applyAlignment="1">
      <alignment horizontal="center" vertical="center" wrapText="1"/>
    </xf>
    <xf numFmtId="0" fontId="36" fillId="7" borderId="4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wrapText="1"/>
    </xf>
    <xf numFmtId="164" fontId="3" fillId="0" borderId="27" xfId="1" applyFont="1" applyFill="1" applyBorder="1" applyAlignment="1">
      <alignment horizontal="left" shrinkToFit="1"/>
    </xf>
    <xf numFmtId="164" fontId="3" fillId="0" borderId="29" xfId="1" applyFont="1" applyFill="1" applyBorder="1" applyAlignment="1">
      <alignment horizontal="left" shrinkToFit="1"/>
    </xf>
    <xf numFmtId="0" fontId="4" fillId="8" borderId="41" xfId="0" applyFont="1" applyFill="1" applyBorder="1" applyAlignment="1">
      <alignment horizontal="right" wrapText="1"/>
    </xf>
    <xf numFmtId="0" fontId="4" fillId="8" borderId="42" xfId="0" applyFont="1" applyFill="1" applyBorder="1" applyAlignment="1">
      <alignment horizontal="right" wrapText="1"/>
    </xf>
    <xf numFmtId="0" fontId="4" fillId="8" borderId="59" xfId="0" applyFont="1" applyFill="1" applyBorder="1" applyAlignment="1">
      <alignment horizontal="right" wrapText="1"/>
    </xf>
    <xf numFmtId="164" fontId="4" fillId="10" borderId="41" xfId="1" applyFont="1" applyFill="1" applyBorder="1" applyAlignment="1">
      <alignment horizontal="left" wrapText="1"/>
    </xf>
    <xf numFmtId="164" fontId="4" fillId="10" borderId="43" xfId="1" applyFont="1" applyFill="1" applyBorder="1" applyAlignment="1">
      <alignment horizontal="left" wrapText="1"/>
    </xf>
    <xf numFmtId="0" fontId="2" fillId="0" borderId="32" xfId="0" applyFont="1" applyFill="1" applyBorder="1" applyAlignment="1">
      <alignment wrapText="1"/>
    </xf>
    <xf numFmtId="0" fontId="2" fillId="0" borderId="33" xfId="0" applyFont="1" applyFill="1" applyBorder="1" applyAlignment="1">
      <alignment wrapText="1"/>
    </xf>
    <xf numFmtId="0" fontId="2" fillId="0" borderId="34" xfId="0" applyFont="1" applyFill="1" applyBorder="1" applyAlignment="1">
      <alignment wrapText="1"/>
    </xf>
    <xf numFmtId="164" fontId="3" fillId="0" borderId="32" xfId="1" applyFont="1" applyFill="1" applyBorder="1" applyAlignment="1">
      <alignment horizontal="left" shrinkToFit="1"/>
    </xf>
    <xf numFmtId="164" fontId="3" fillId="0" borderId="61" xfId="1" applyFont="1" applyFill="1" applyBorder="1" applyAlignment="1">
      <alignment horizontal="left" shrinkToFit="1"/>
    </xf>
    <xf numFmtId="164" fontId="3" fillId="0" borderId="16" xfId="1" applyFont="1" applyFill="1" applyBorder="1" applyAlignment="1">
      <alignment horizontal="left" shrinkToFit="1"/>
    </xf>
    <xf numFmtId="164" fontId="3" fillId="0" borderId="31" xfId="1" applyFont="1" applyFill="1" applyBorder="1" applyAlignment="1">
      <alignment horizontal="left" shrinkToFit="1"/>
    </xf>
    <xf numFmtId="164" fontId="4" fillId="10" borderId="41" xfId="1" applyFont="1" applyFill="1" applyBorder="1" applyAlignment="1">
      <alignment horizontal="center" vertical="top" wrapText="1"/>
    </xf>
    <xf numFmtId="164" fontId="4" fillId="10" borderId="43" xfId="1" applyFont="1" applyFill="1" applyBorder="1" applyAlignment="1">
      <alignment horizontal="center" vertical="top" wrapText="1"/>
    </xf>
    <xf numFmtId="0" fontId="34" fillId="0" borderId="57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/>
    </xf>
    <xf numFmtId="0" fontId="37" fillId="8" borderId="41" xfId="0" applyFont="1" applyFill="1" applyBorder="1" applyAlignment="1">
      <alignment horizontal="center" vertical="top" wrapText="1"/>
    </xf>
    <xf numFmtId="0" fontId="37" fillId="8" borderId="42" xfId="0" applyFont="1" applyFill="1" applyBorder="1" applyAlignment="1">
      <alignment horizontal="center" vertical="top" wrapText="1"/>
    </xf>
    <xf numFmtId="0" fontId="37" fillId="8" borderId="43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 indent="3"/>
    </xf>
    <xf numFmtId="0" fontId="5" fillId="0" borderId="9" xfId="0" applyFont="1" applyFill="1" applyBorder="1" applyAlignment="1">
      <alignment horizontal="left" vertical="top" wrapText="1" indent="3"/>
    </xf>
    <xf numFmtId="0" fontId="5" fillId="0" borderId="10" xfId="0" applyFont="1" applyFill="1" applyBorder="1" applyAlignment="1">
      <alignment horizontal="left" vertical="top" wrapText="1" indent="3"/>
    </xf>
    <xf numFmtId="10" fontId="7" fillId="0" borderId="15" xfId="0" applyNumberFormat="1" applyFont="1" applyFill="1" applyBorder="1" applyAlignment="1">
      <alignment horizontal="left" vertical="top" indent="2" shrinkToFit="1"/>
    </xf>
    <xf numFmtId="10" fontId="7" fillId="0" borderId="13" xfId="0" applyNumberFormat="1" applyFont="1" applyFill="1" applyBorder="1" applyAlignment="1">
      <alignment horizontal="left" vertical="top" indent="2" shrinkToFit="1"/>
    </xf>
    <xf numFmtId="0" fontId="39" fillId="6" borderId="90" xfId="0" applyFont="1" applyFill="1" applyBorder="1" applyAlignment="1">
      <alignment horizontal="left" vertical="top" wrapText="1"/>
    </xf>
    <xf numFmtId="0" fontId="39" fillId="6" borderId="84" xfId="0" applyFont="1" applyFill="1" applyBorder="1" applyAlignment="1">
      <alignment horizontal="left" vertical="top" wrapText="1"/>
    </xf>
    <xf numFmtId="0" fontId="39" fillId="6" borderId="85" xfId="0" applyFont="1" applyFill="1" applyBorder="1" applyAlignment="1">
      <alignment horizontal="left" vertical="top" wrapText="1"/>
    </xf>
    <xf numFmtId="0" fontId="0" fillId="6" borderId="41" xfId="0" applyFill="1" applyBorder="1" applyAlignment="1">
      <alignment horizontal="center" vertical="top"/>
    </xf>
    <xf numFmtId="0" fontId="0" fillId="6" borderId="42" xfId="0" applyFill="1" applyBorder="1" applyAlignment="1">
      <alignment horizontal="center" vertical="top"/>
    </xf>
    <xf numFmtId="0" fontId="0" fillId="6" borderId="43" xfId="0" applyFill="1" applyBorder="1" applyAlignment="1">
      <alignment horizontal="center" vertical="top"/>
    </xf>
    <xf numFmtId="0" fontId="41" fillId="0" borderId="2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2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wrapText="1"/>
    </xf>
    <xf numFmtId="0" fontId="28" fillId="0" borderId="23" xfId="0" applyFont="1" applyFill="1" applyBorder="1" applyAlignment="1">
      <alignment horizontal="center" wrapText="1"/>
    </xf>
    <xf numFmtId="14" fontId="28" fillId="0" borderId="25" xfId="0" applyNumberFormat="1" applyFont="1" applyFill="1" applyBorder="1" applyAlignment="1">
      <alignment horizontal="center" vertical="center" wrapText="1"/>
    </xf>
    <xf numFmtId="14" fontId="28" fillId="0" borderId="26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top"/>
    </xf>
    <xf numFmtId="0" fontId="0" fillId="0" borderId="18" xfId="0" applyFill="1" applyBorder="1" applyAlignment="1">
      <alignment horizontal="center" vertical="top"/>
    </xf>
    <xf numFmtId="0" fontId="0" fillId="0" borderId="30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0" fillId="0" borderId="37" xfId="0" applyFill="1" applyBorder="1" applyAlignment="1">
      <alignment horizontal="center" vertical="top"/>
    </xf>
    <xf numFmtId="0" fontId="0" fillId="0" borderId="49" xfId="0" applyFill="1" applyBorder="1" applyAlignment="1">
      <alignment horizontal="center" vertical="top"/>
    </xf>
    <xf numFmtId="0" fontId="41" fillId="0" borderId="18" xfId="0" applyFont="1" applyFill="1" applyBorder="1" applyAlignment="1">
      <alignment horizontal="center" vertical="center" wrapText="1"/>
    </xf>
    <xf numFmtId="0" fontId="41" fillId="0" borderId="3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31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8" fillId="7" borderId="28" xfId="0" applyFont="1" applyFill="1" applyBorder="1" applyAlignment="1">
      <alignment horizontal="center" vertical="center" wrapText="1"/>
    </xf>
    <xf numFmtId="0" fontId="38" fillId="7" borderId="62" xfId="0" applyFont="1" applyFill="1" applyBorder="1" applyAlignment="1">
      <alignment horizontal="center" vertical="center" wrapText="1"/>
    </xf>
    <xf numFmtId="0" fontId="38" fillId="7" borderId="27" xfId="0" applyFont="1" applyFill="1" applyBorder="1" applyAlignment="1">
      <alignment horizontal="center" vertical="center" wrapText="1"/>
    </xf>
    <xf numFmtId="0" fontId="38" fillId="7" borderId="29" xfId="0" applyFont="1" applyFill="1" applyBorder="1" applyAlignment="1">
      <alignment horizontal="center" vertical="center" wrapText="1"/>
    </xf>
    <xf numFmtId="0" fontId="31" fillId="0" borderId="87" xfId="0" applyFont="1" applyFill="1" applyBorder="1" applyAlignment="1">
      <alignment horizontal="left" wrapText="1"/>
    </xf>
    <xf numFmtId="0" fontId="31" fillId="0" borderId="88" xfId="0" applyFont="1" applyFill="1" applyBorder="1" applyAlignment="1">
      <alignment horizontal="left" wrapText="1"/>
    </xf>
    <xf numFmtId="0" fontId="31" fillId="0" borderId="50" xfId="0" applyFont="1" applyFill="1" applyBorder="1" applyAlignment="1">
      <alignment horizontal="left" wrapText="1"/>
    </xf>
    <xf numFmtId="0" fontId="31" fillId="0" borderId="89" xfId="0" applyFont="1" applyFill="1" applyBorder="1" applyAlignment="1">
      <alignment horizontal="left" wrapText="1"/>
    </xf>
    <xf numFmtId="0" fontId="1" fillId="12" borderId="90" xfId="0" applyFont="1" applyFill="1" applyBorder="1" applyAlignment="1">
      <alignment horizontal="left" vertical="top" wrapText="1"/>
    </xf>
    <xf numFmtId="0" fontId="1" fillId="12" borderId="84" xfId="0" applyFont="1" applyFill="1" applyBorder="1" applyAlignment="1">
      <alignment horizontal="left" vertical="top" wrapText="1"/>
    </xf>
    <xf numFmtId="0" fontId="1" fillId="12" borderId="85" xfId="0" applyFont="1" applyFill="1" applyBorder="1" applyAlignment="1">
      <alignment horizontal="left" vertical="top" wrapText="1"/>
    </xf>
    <xf numFmtId="0" fontId="0" fillId="0" borderId="80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77" xfId="0" applyFill="1" applyBorder="1" applyAlignment="1">
      <alignment horizontal="left" wrapText="1"/>
    </xf>
    <xf numFmtId="0" fontId="9" fillId="0" borderId="25" xfId="0" applyFont="1" applyFill="1" applyBorder="1" applyAlignment="1">
      <alignment horizontal="center" vertical="center" wrapText="1"/>
    </xf>
    <xf numFmtId="0" fontId="13" fillId="0" borderId="74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left" vertical="top" wrapText="1" indent="5"/>
    </xf>
    <xf numFmtId="0" fontId="13" fillId="0" borderId="9" xfId="0" applyFont="1" applyFill="1" applyBorder="1" applyAlignment="1">
      <alignment horizontal="left" vertical="top" wrapText="1" indent="5"/>
    </xf>
    <xf numFmtId="0" fontId="13" fillId="0" borderId="79" xfId="0" applyFont="1" applyFill="1" applyBorder="1" applyAlignment="1">
      <alignment horizontal="left" vertical="top" wrapText="1" indent="5"/>
    </xf>
    <xf numFmtId="0" fontId="5" fillId="3" borderId="74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79" xfId="0" applyFont="1" applyFill="1" applyBorder="1" applyAlignment="1">
      <alignment horizontal="center" vertical="top" wrapText="1"/>
    </xf>
    <xf numFmtId="0" fontId="5" fillId="0" borderId="7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79" xfId="0" applyFont="1" applyFill="1" applyBorder="1" applyAlignment="1">
      <alignment horizontal="center" vertical="top" wrapText="1"/>
    </xf>
    <xf numFmtId="0" fontId="5" fillId="8" borderId="74" xfId="0" applyFont="1" applyFill="1" applyBorder="1" applyAlignment="1">
      <alignment horizontal="center" vertical="top" wrapText="1"/>
    </xf>
    <xf numFmtId="0" fontId="5" fillId="8" borderId="9" xfId="0" applyFont="1" applyFill="1" applyBorder="1" applyAlignment="1">
      <alignment horizontal="center" vertical="top" wrapText="1"/>
    </xf>
    <xf numFmtId="0" fontId="5" fillId="8" borderId="79" xfId="0" applyFont="1" applyFill="1" applyBorder="1" applyAlignment="1">
      <alignment horizontal="center" vertical="top" wrapText="1"/>
    </xf>
    <xf numFmtId="0" fontId="13" fillId="0" borderId="74" xfId="0" applyFont="1" applyFill="1" applyBorder="1" applyAlignment="1">
      <alignment horizontal="left" vertical="top" wrapText="1" indent="8"/>
    </xf>
    <xf numFmtId="0" fontId="13" fillId="0" borderId="10" xfId="0" applyFont="1" applyFill="1" applyBorder="1" applyAlignment="1">
      <alignment horizontal="left" vertical="top" wrapText="1" indent="8"/>
    </xf>
    <xf numFmtId="0" fontId="0" fillId="6" borderId="19" xfId="0" applyFill="1" applyBorder="1" applyAlignment="1">
      <alignment horizontal="left" wrapText="1"/>
    </xf>
    <xf numFmtId="0" fontId="0" fillId="6" borderId="20" xfId="0" applyFill="1" applyBorder="1" applyAlignment="1">
      <alignment horizontal="left" wrapText="1"/>
    </xf>
    <xf numFmtId="0" fontId="0" fillId="6" borderId="21" xfId="0" applyFill="1" applyBorder="1" applyAlignment="1">
      <alignment horizontal="left" wrapText="1"/>
    </xf>
    <xf numFmtId="0" fontId="0" fillId="0" borderId="76" xfId="0" applyFill="1" applyBorder="1" applyAlignment="1">
      <alignment horizontal="left" vertical="top" wrapText="1"/>
    </xf>
    <xf numFmtId="0" fontId="0" fillId="0" borderId="47" xfId="0" applyFill="1" applyBorder="1" applyAlignment="1">
      <alignment horizontal="left" vertical="top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7" xfId="0" applyFill="1" applyBorder="1" applyAlignment="1">
      <alignment horizontal="left" vertical="top" wrapText="1"/>
    </xf>
    <xf numFmtId="0" fontId="36" fillId="7" borderId="75" xfId="0" applyFont="1" applyFill="1" applyBorder="1" applyAlignment="1">
      <alignment horizontal="center" vertical="center" wrapText="1"/>
    </xf>
    <xf numFmtId="0" fontId="36" fillId="7" borderId="69" xfId="0" applyFont="1" applyFill="1" applyBorder="1" applyAlignment="1">
      <alignment horizontal="center" vertical="center" wrapText="1"/>
    </xf>
    <xf numFmtId="0" fontId="36" fillId="7" borderId="7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0" fillId="0" borderId="44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44" fillId="0" borderId="80" xfId="0" applyFont="1" applyBorder="1" applyAlignment="1">
      <alignment horizontal="left" wrapText="1"/>
    </xf>
    <xf numFmtId="0" fontId="44" fillId="0" borderId="2" xfId="0" applyFont="1" applyBorder="1" applyAlignment="1">
      <alignment horizontal="left" wrapText="1"/>
    </xf>
    <xf numFmtId="0" fontId="44" fillId="0" borderId="77" xfId="0" applyFont="1" applyBorder="1" applyAlignment="1">
      <alignment horizontal="left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9" xfId="0" applyFont="1" applyFill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79" xfId="0" applyFont="1" applyBorder="1" applyAlignment="1">
      <alignment horizontal="center" vertical="top" wrapText="1"/>
    </xf>
    <xf numFmtId="0" fontId="28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76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32" fillId="0" borderId="1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7" xfId="0" applyBorder="1" applyAlignment="1">
      <alignment horizontal="left" vertical="top" wrapText="1"/>
    </xf>
    <xf numFmtId="0" fontId="47" fillId="0" borderId="6" xfId="0" applyFont="1" applyBorder="1" applyAlignment="1">
      <alignment horizontal="center" vertical="top" wrapText="1"/>
    </xf>
    <xf numFmtId="0" fontId="47" fillId="0" borderId="3" xfId="0" applyFont="1" applyBorder="1" applyAlignment="1">
      <alignment horizontal="center" vertical="top" wrapText="1"/>
    </xf>
    <xf numFmtId="0" fontId="45" fillId="0" borderId="42" xfId="4" applyFont="1" applyBorder="1" applyAlignment="1">
      <alignment horizontal="left" vertical="center"/>
    </xf>
    <xf numFmtId="0" fontId="45" fillId="0" borderId="43" xfId="4" applyFont="1" applyBorder="1" applyAlignment="1">
      <alignment horizontal="left" vertical="center"/>
    </xf>
    <xf numFmtId="0" fontId="26" fillId="0" borderId="35" xfId="4" applyBorder="1" applyAlignment="1">
      <alignment vertical="center"/>
    </xf>
    <xf numFmtId="0" fontId="26" fillId="0" borderId="18" xfId="4" applyBorder="1" applyAlignment="1">
      <alignment vertical="center"/>
    </xf>
    <xf numFmtId="0" fontId="26" fillId="0" borderId="36" xfId="4" applyBorder="1" applyAlignment="1">
      <alignment vertical="center"/>
    </xf>
    <xf numFmtId="0" fontId="46" fillId="0" borderId="0" xfId="4" applyFont="1" applyAlignment="1">
      <alignment horizontal="right" vertical="center"/>
    </xf>
    <xf numFmtId="0" fontId="45" fillId="0" borderId="86" xfId="4" applyFont="1" applyBorder="1" applyAlignment="1">
      <alignment horizontal="center" vertical="center"/>
    </xf>
    <xf numFmtId="0" fontId="45" fillId="0" borderId="0" xfId="4" applyFont="1" applyAlignment="1">
      <alignment horizontal="left" vertical="center"/>
    </xf>
    <xf numFmtId="40" fontId="45" fillId="0" borderId="0" xfId="4" applyNumberFormat="1" applyFont="1" applyAlignment="1">
      <alignment horizontal="center" vertical="center"/>
    </xf>
    <xf numFmtId="0" fontId="5" fillId="0" borderId="2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2" fontId="17" fillId="4" borderId="16" xfId="0" applyNumberFormat="1" applyFont="1" applyFill="1" applyBorder="1" applyAlignment="1">
      <alignment horizontal="center" vertical="top" shrinkToFit="1"/>
    </xf>
    <xf numFmtId="2" fontId="17" fillId="4" borderId="31" xfId="0" applyNumberFormat="1" applyFont="1" applyFill="1" applyBorder="1" applyAlignment="1">
      <alignment horizontal="center" vertical="top" shrinkToFit="1"/>
    </xf>
    <xf numFmtId="0" fontId="5" fillId="4" borderId="6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14" fillId="0" borderId="16" xfId="0" applyNumberFormat="1" applyFont="1" applyBorder="1" applyAlignment="1">
      <alignment horizontal="center" vertical="top" shrinkToFit="1"/>
    </xf>
    <xf numFmtId="2" fontId="14" fillId="0" borderId="31" xfId="0" applyNumberFormat="1" applyFont="1" applyBorder="1" applyAlignment="1">
      <alignment horizontal="center" vertical="top" shrinkToFit="1"/>
    </xf>
    <xf numFmtId="0" fontId="0" fillId="0" borderId="2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2" fillId="0" borderId="57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 wrapText="1" indent="3"/>
    </xf>
    <xf numFmtId="0" fontId="5" fillId="0" borderId="9" xfId="0" applyFont="1" applyBorder="1" applyAlignment="1">
      <alignment horizontal="left" vertical="center" wrapText="1" indent="3"/>
    </xf>
    <xf numFmtId="0" fontId="5" fillId="0" borderId="10" xfId="0" applyFont="1" applyBorder="1" applyAlignment="1">
      <alignment horizontal="left" vertical="center" wrapText="1" indent="3"/>
    </xf>
    <xf numFmtId="10" fontId="7" fillId="0" borderId="15" xfId="0" applyNumberFormat="1" applyFont="1" applyBorder="1" applyAlignment="1">
      <alignment horizontal="left" vertical="center" shrinkToFit="1"/>
    </xf>
    <xf numFmtId="10" fontId="7" fillId="0" borderId="13" xfId="0" applyNumberFormat="1" applyFont="1" applyBorder="1" applyAlignment="1">
      <alignment horizontal="left" vertical="center" shrinkToFit="1"/>
    </xf>
    <xf numFmtId="0" fontId="37" fillId="8" borderId="41" xfId="0" applyFont="1" applyFill="1" applyBorder="1" applyAlignment="1">
      <alignment horizontal="center" vertical="center" wrapText="1"/>
    </xf>
    <xf numFmtId="0" fontId="37" fillId="8" borderId="42" xfId="0" applyFont="1" applyFill="1" applyBorder="1" applyAlignment="1">
      <alignment horizontal="center" vertical="center" wrapText="1"/>
    </xf>
    <xf numFmtId="0" fontId="37" fillId="8" borderId="43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3" xfId="0" applyBorder="1" applyAlignment="1">
      <alignment horizontal="center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1" fontId="28" fillId="0" borderId="41" xfId="4" applyNumberFormat="1" applyFont="1" applyBorder="1" applyAlignment="1">
      <alignment horizontal="center" vertical="center"/>
    </xf>
    <xf numFmtId="1" fontId="28" fillId="0" borderId="42" xfId="4" applyNumberFormat="1" applyFont="1" applyBorder="1" applyAlignment="1">
      <alignment horizontal="center" vertical="center"/>
    </xf>
    <xf numFmtId="1" fontId="28" fillId="0" borderId="43" xfId="4" applyNumberFormat="1" applyFont="1" applyBorder="1" applyAlignment="1">
      <alignment horizontal="center" vertical="center"/>
    </xf>
    <xf numFmtId="0" fontId="5" fillId="5" borderId="7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0" fontId="18" fillId="10" borderId="66" xfId="0" applyNumberFormat="1" applyFont="1" applyFill="1" applyBorder="1" applyAlignment="1">
      <alignment horizontal="center" vertical="center" shrinkToFit="1"/>
    </xf>
    <xf numFmtId="10" fontId="18" fillId="10" borderId="72" xfId="0" applyNumberFormat="1" applyFont="1" applyFill="1" applyBorder="1" applyAlignment="1">
      <alignment horizontal="center" vertical="center" shrinkToFit="1"/>
    </xf>
    <xf numFmtId="10" fontId="18" fillId="10" borderId="63" xfId="0" applyNumberFormat="1" applyFont="1" applyFill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23" xfId="0" applyFont="1" applyBorder="1" applyAlignment="1">
      <alignment horizontal="center" vertical="top" wrapText="1"/>
    </xf>
    <xf numFmtId="0" fontId="29" fillId="0" borderId="16" xfId="0" applyFont="1" applyFill="1" applyBorder="1" applyAlignment="1">
      <alignment horizontal="left" wrapText="1"/>
    </xf>
    <xf numFmtId="164" fontId="31" fillId="0" borderId="16" xfId="1" applyFont="1" applyFill="1" applyBorder="1" applyAlignment="1">
      <alignment shrinkToFit="1"/>
    </xf>
    <xf numFmtId="164" fontId="31" fillId="0" borderId="32" xfId="1" applyFont="1" applyFill="1" applyBorder="1" applyAlignment="1">
      <alignment shrinkToFit="1"/>
    </xf>
    <xf numFmtId="0" fontId="1" fillId="9" borderId="83" xfId="0" applyFont="1" applyFill="1" applyBorder="1" applyAlignment="1">
      <alignment horizontal="center" vertical="center" wrapText="1"/>
    </xf>
    <xf numFmtId="0" fontId="1" fillId="9" borderId="84" xfId="0" applyFont="1" applyFill="1" applyBorder="1" applyAlignment="1">
      <alignment horizontal="center" vertical="center" wrapText="1"/>
    </xf>
    <xf numFmtId="0" fontId="1" fillId="9" borderId="8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64" fontId="1" fillId="10" borderId="41" xfId="1" applyFont="1" applyFill="1" applyBorder="1" applyAlignment="1">
      <alignment horizontal="right" wrapText="1"/>
    </xf>
    <xf numFmtId="164" fontId="1" fillId="10" borderId="42" xfId="1" applyFont="1" applyFill="1" applyBorder="1" applyAlignment="1">
      <alignment horizontal="right" wrapText="1"/>
    </xf>
    <xf numFmtId="164" fontId="1" fillId="10" borderId="43" xfId="1" applyFont="1" applyFill="1" applyBorder="1" applyAlignment="1">
      <alignment horizontal="right" wrapText="1"/>
    </xf>
    <xf numFmtId="0" fontId="1" fillId="8" borderId="41" xfId="0" applyFont="1" applyFill="1" applyBorder="1" applyAlignment="1">
      <alignment horizontal="left" wrapText="1"/>
    </xf>
    <xf numFmtId="0" fontId="1" fillId="8" borderId="42" xfId="0" applyFont="1" applyFill="1" applyBorder="1" applyAlignment="1">
      <alignment horizontal="left" wrapText="1"/>
    </xf>
    <xf numFmtId="0" fontId="1" fillId="8" borderId="64" xfId="0" applyFont="1" applyFill="1" applyBorder="1" applyAlignment="1">
      <alignment horizontal="left" wrapText="1"/>
    </xf>
    <xf numFmtId="164" fontId="31" fillId="8" borderId="65" xfId="1" applyFont="1" applyFill="1" applyBorder="1" applyAlignment="1">
      <alignment shrinkToFit="1"/>
    </xf>
    <xf numFmtId="164" fontId="31" fillId="8" borderId="42" xfId="1" applyFont="1" applyFill="1" applyBorder="1" applyAlignment="1">
      <alignment shrinkToFit="1"/>
    </xf>
    <xf numFmtId="0" fontId="9" fillId="0" borderId="25" xfId="0" applyFont="1" applyFill="1" applyBorder="1" applyAlignment="1">
      <alignment horizontal="center" vertical="top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20" xfId="0" applyFont="1" applyFill="1" applyBorder="1" applyAlignment="1">
      <alignment horizontal="center" vertical="center" wrapText="1"/>
    </xf>
    <xf numFmtId="0" fontId="36" fillId="7" borderId="21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71" xfId="0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8" fillId="0" borderId="68" xfId="0" applyFont="1" applyFill="1" applyBorder="1" applyAlignment="1">
      <alignment horizontal="center" vertical="top" wrapText="1"/>
    </xf>
    <xf numFmtId="0" fontId="8" fillId="0" borderId="7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4" fillId="0" borderId="71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/>
    </xf>
    <xf numFmtId="0" fontId="34" fillId="0" borderId="67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81" xfId="0" applyFont="1" applyFill="1" applyBorder="1" applyAlignment="1">
      <alignment horizontal="center" vertical="center"/>
    </xf>
    <xf numFmtId="0" fontId="34" fillId="0" borderId="25" xfId="0" applyFont="1" applyFill="1" applyBorder="1" applyAlignment="1">
      <alignment horizontal="center" vertical="center"/>
    </xf>
    <xf numFmtId="0" fontId="34" fillId="0" borderId="82" xfId="0" applyFont="1" applyFill="1" applyBorder="1" applyAlignment="1">
      <alignment horizontal="center" vertical="center"/>
    </xf>
  </cellXfs>
  <cellStyles count="5">
    <cellStyle name="Moeda" xfId="1" builtinId="4"/>
    <cellStyle name="Normal" xfId="0" builtinId="0"/>
    <cellStyle name="Normal 2" xfId="3"/>
    <cellStyle name="Normal 2 2" xfId="4"/>
    <cellStyle name="Porcentagem" xfId="2" builtinId="5"/>
  </cellStyles>
  <dxfs count="0"/>
  <tableStyles count="0" defaultTableStyle="TableStyleMedium9" defaultPivotStyle="PivotStyleLight16"/>
  <colors>
    <mruColors>
      <color rgb="FF1C54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4.jpe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0.jpeg"/><Relationship Id="rId1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0.jpeg"/><Relationship Id="rId1" Type="http://schemas.openxmlformats.org/officeDocument/2006/relationships/image" Target="../media/image1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0.jpeg"/><Relationship Id="rId1" Type="http://schemas.openxmlformats.org/officeDocument/2006/relationships/image" Target="../media/image1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13.jpe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216001</xdr:colOff>
      <xdr:row>1</xdr:row>
      <xdr:rowOff>75442</xdr:rowOff>
    </xdr:from>
    <xdr:to>
      <xdr:col>1</xdr:col>
      <xdr:colOff>303609</xdr:colOff>
      <xdr:row>3</xdr:row>
      <xdr:rowOff>73269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61C8DD6-488C-4B44-AFB0-1DBAC7220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001" y="158786"/>
          <a:ext cx="504327" cy="503842"/>
        </a:xfrm>
        <a:prstGeom prst="rect">
          <a:avLst/>
        </a:prstGeom>
      </xdr:spPr>
    </xdr:pic>
    <xdr:clientData/>
  </xdr:twoCellAnchor>
  <xdr:twoCellAnchor editAs="oneCell">
    <xdr:from>
      <xdr:col>6</xdr:col>
      <xdr:colOff>296788</xdr:colOff>
      <xdr:row>1</xdr:row>
      <xdr:rowOff>93237</xdr:rowOff>
    </xdr:from>
    <xdr:to>
      <xdr:col>7</xdr:col>
      <xdr:colOff>315516</xdr:colOff>
      <xdr:row>3</xdr:row>
      <xdr:rowOff>81970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87FACB1D-73CC-4FC3-BBF6-5ED892995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0585" y="176581"/>
          <a:ext cx="506884" cy="494748"/>
        </a:xfrm>
        <a:prstGeom prst="rect">
          <a:avLst/>
        </a:prstGeom>
      </xdr:spPr>
    </xdr:pic>
    <xdr:clientData/>
  </xdr:twoCellAnchor>
  <xdr:twoCellAnchor editAs="oneCell">
    <xdr:from>
      <xdr:col>2</xdr:col>
      <xdr:colOff>3252254</xdr:colOff>
      <xdr:row>22</xdr:row>
      <xdr:rowOff>17653</xdr:rowOff>
    </xdr:from>
    <xdr:to>
      <xdr:col>7</xdr:col>
      <xdr:colOff>482409</xdr:colOff>
      <xdr:row>25</xdr:row>
      <xdr:rowOff>54725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FD8E4BD5-3B7E-4DC6-8C7F-BE105D2A6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270238" y="2976356"/>
          <a:ext cx="2314124" cy="51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219650</xdr:colOff>
      <xdr:row>1</xdr:row>
      <xdr:rowOff>67479</xdr:rowOff>
    </xdr:from>
    <xdr:to>
      <xdr:col>1</xdr:col>
      <xdr:colOff>322590</xdr:colOff>
      <xdr:row>3</xdr:row>
      <xdr:rowOff>98535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8E16B981-191C-49AD-8133-74E9569B8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50" y="106893"/>
          <a:ext cx="490509" cy="517159"/>
        </a:xfrm>
        <a:prstGeom prst="rect">
          <a:avLst/>
        </a:prstGeom>
      </xdr:spPr>
    </xdr:pic>
    <xdr:clientData/>
  </xdr:twoCellAnchor>
  <xdr:twoCellAnchor editAs="oneCell">
    <xdr:from>
      <xdr:col>10</xdr:col>
      <xdr:colOff>353650</xdr:colOff>
      <xdr:row>1</xdr:row>
      <xdr:rowOff>118243</xdr:rowOff>
    </xdr:from>
    <xdr:to>
      <xdr:col>11</xdr:col>
      <xdr:colOff>340928</xdr:colOff>
      <xdr:row>3</xdr:row>
      <xdr:rowOff>85398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31C1F203-675E-4635-9631-8A677258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6874" y="157657"/>
          <a:ext cx="479951" cy="453258"/>
        </a:xfrm>
        <a:prstGeom prst="rect">
          <a:avLst/>
        </a:prstGeom>
      </xdr:spPr>
    </xdr:pic>
    <xdr:clientData/>
  </xdr:twoCellAnchor>
  <xdr:twoCellAnchor editAs="oneCell">
    <xdr:from>
      <xdr:col>7</xdr:col>
      <xdr:colOff>610914</xdr:colOff>
      <xdr:row>25</xdr:row>
      <xdr:rowOff>64542</xdr:rowOff>
    </xdr:from>
    <xdr:to>
      <xdr:col>11</xdr:col>
      <xdr:colOff>492672</xdr:colOff>
      <xdr:row>29</xdr:row>
      <xdr:rowOff>19706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7540A494-0EDF-4A2D-8CE1-B3EEA6C98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6818586" y="4235835"/>
          <a:ext cx="2305707" cy="5332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1</xdr:row>
      <xdr:rowOff>93755</xdr:rowOff>
    </xdr:from>
    <xdr:to>
      <xdr:col>1</xdr:col>
      <xdr:colOff>329159</xdr:colOff>
      <xdr:row>3</xdr:row>
      <xdr:rowOff>111921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F395D9-0FDD-47C6-9B13-D368F0D3B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219" y="200911"/>
          <a:ext cx="495846" cy="506322"/>
        </a:xfrm>
        <a:prstGeom prst="rect">
          <a:avLst/>
        </a:prstGeom>
      </xdr:spPr>
    </xdr:pic>
    <xdr:clientData/>
  </xdr:twoCellAnchor>
  <xdr:twoCellAnchor editAs="oneCell">
    <xdr:from>
      <xdr:col>6</xdr:col>
      <xdr:colOff>412771</xdr:colOff>
      <xdr:row>1</xdr:row>
      <xdr:rowOff>131380</xdr:rowOff>
    </xdr:from>
    <xdr:to>
      <xdr:col>7</xdr:col>
      <xdr:colOff>400050</xdr:colOff>
      <xdr:row>3</xdr:row>
      <xdr:rowOff>95252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E6AD6F5E-32D4-4DB7-8B06-6C54CABA4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0171" y="236155"/>
          <a:ext cx="482578" cy="449646"/>
        </a:xfrm>
        <a:prstGeom prst="rect">
          <a:avLst/>
        </a:prstGeom>
      </xdr:spPr>
    </xdr:pic>
    <xdr:clientData/>
  </xdr:twoCellAnchor>
  <xdr:twoCellAnchor editAs="oneCell">
    <xdr:from>
      <xdr:col>3</xdr:col>
      <xdr:colOff>339328</xdr:colOff>
      <xdr:row>66</xdr:row>
      <xdr:rowOff>17861</xdr:rowOff>
    </xdr:from>
    <xdr:to>
      <xdr:col>7</xdr:col>
      <xdr:colOff>668598</xdr:colOff>
      <xdr:row>69</xdr:row>
      <xdr:rowOff>68891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17170856-8BAB-45CB-ADDF-D058292CE0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887516" y="15400736"/>
          <a:ext cx="2305707" cy="5332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364550</xdr:colOff>
      <xdr:row>1</xdr:row>
      <xdr:rowOff>36635</xdr:rowOff>
    </xdr:from>
    <xdr:to>
      <xdr:col>1</xdr:col>
      <xdr:colOff>5200</xdr:colOff>
      <xdr:row>5</xdr:row>
      <xdr:rowOff>35374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792504CF-FF73-4143-A0AC-2CD6974A2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550" y="95250"/>
          <a:ext cx="556515" cy="540932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402980</xdr:colOff>
      <xdr:row>1</xdr:row>
      <xdr:rowOff>73270</xdr:rowOff>
    </xdr:from>
    <xdr:to>
      <xdr:col>5</xdr:col>
      <xdr:colOff>311677</xdr:colOff>
      <xdr:row>5</xdr:row>
      <xdr:rowOff>25825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DF961CFD-B099-47BC-AB23-2C7D2D2AF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192" y="131885"/>
          <a:ext cx="480197" cy="494748"/>
        </a:xfrm>
        <a:prstGeom prst="rect">
          <a:avLst/>
        </a:prstGeom>
      </xdr:spPr>
    </xdr:pic>
    <xdr:clientData/>
  </xdr:twoCellAnchor>
  <xdr:twoCellAnchor editAs="oneCell">
    <xdr:from>
      <xdr:col>3</xdr:col>
      <xdr:colOff>1267557</xdr:colOff>
      <xdr:row>65</xdr:row>
      <xdr:rowOff>14654</xdr:rowOff>
    </xdr:from>
    <xdr:to>
      <xdr:col>5</xdr:col>
      <xdr:colOff>561898</xdr:colOff>
      <xdr:row>68</xdr:row>
      <xdr:rowOff>64311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2D0019F0-D2B7-446F-BF20-D1A23B49E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5546480" y="21423923"/>
          <a:ext cx="2305706" cy="533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131380</xdr:colOff>
      <xdr:row>1</xdr:row>
      <xdr:rowOff>45982</xdr:rowOff>
    </xdr:from>
    <xdr:to>
      <xdr:col>0</xdr:col>
      <xdr:colOff>642937</xdr:colOff>
      <xdr:row>2</xdr:row>
      <xdr:rowOff>190500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0C99FF0-8177-4221-AD01-BAF5C2F56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80" y="111466"/>
          <a:ext cx="511557" cy="477893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1</xdr:row>
      <xdr:rowOff>95250</xdr:rowOff>
    </xdr:from>
    <xdr:to>
      <xdr:col>5</xdr:col>
      <xdr:colOff>267892</xdr:colOff>
      <xdr:row>2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74B39F74-C4A8-4534-BB6B-FFCF25D00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0954" y="160734"/>
          <a:ext cx="422672" cy="428625"/>
        </a:xfrm>
        <a:prstGeom prst="rect">
          <a:avLst/>
        </a:prstGeom>
      </xdr:spPr>
    </xdr:pic>
    <xdr:clientData/>
  </xdr:twoCellAnchor>
  <xdr:twoCellAnchor editAs="oneCell">
    <xdr:from>
      <xdr:col>2</xdr:col>
      <xdr:colOff>107157</xdr:colOff>
      <xdr:row>23</xdr:row>
      <xdr:rowOff>107157</xdr:rowOff>
    </xdr:from>
    <xdr:to>
      <xdr:col>5</xdr:col>
      <xdr:colOff>495958</xdr:colOff>
      <xdr:row>26</xdr:row>
      <xdr:rowOff>158187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9372D444-D699-49AF-BEE7-7A956F1560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65985" y="3494485"/>
          <a:ext cx="2305707" cy="5332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168824</xdr:colOff>
      <xdr:row>1</xdr:row>
      <xdr:rowOff>45982</xdr:rowOff>
    </xdr:from>
    <xdr:to>
      <xdr:col>0</xdr:col>
      <xdr:colOff>552450</xdr:colOff>
      <xdr:row>2</xdr:row>
      <xdr:rowOff>80596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D2591AE4-83E4-4F0F-804E-AB06AAF41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24" y="111924"/>
          <a:ext cx="383626" cy="371653"/>
        </a:xfrm>
        <a:prstGeom prst="rect">
          <a:avLst/>
        </a:prstGeom>
      </xdr:spPr>
    </xdr:pic>
    <xdr:clientData/>
  </xdr:twoCellAnchor>
  <xdr:twoCellAnchor editAs="oneCell">
    <xdr:from>
      <xdr:col>4</xdr:col>
      <xdr:colOff>463745</xdr:colOff>
      <xdr:row>1</xdr:row>
      <xdr:rowOff>72258</xdr:rowOff>
    </xdr:from>
    <xdr:to>
      <xdr:col>5</xdr:col>
      <xdr:colOff>260106</xdr:colOff>
      <xdr:row>2</xdr:row>
      <xdr:rowOff>109904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3CD4417-3CFB-491D-978E-BC1D5B7C7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1110" y="138200"/>
          <a:ext cx="375188" cy="374685"/>
        </a:xfrm>
        <a:prstGeom prst="rect">
          <a:avLst/>
        </a:prstGeom>
      </xdr:spPr>
    </xdr:pic>
    <xdr:clientData/>
  </xdr:twoCellAnchor>
  <xdr:twoCellAnchor editAs="oneCell">
    <xdr:from>
      <xdr:col>2</xdr:col>
      <xdr:colOff>120294</xdr:colOff>
      <xdr:row>27</xdr:row>
      <xdr:rowOff>8623</xdr:rowOff>
    </xdr:from>
    <xdr:to>
      <xdr:col>5</xdr:col>
      <xdr:colOff>514350</xdr:colOff>
      <xdr:row>30</xdr:row>
      <xdr:rowOff>59652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9F536578-BB52-4D00-B811-4C34FFC8F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82694" y="4894948"/>
          <a:ext cx="2308581" cy="536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204651</xdr:colOff>
      <xdr:row>1</xdr:row>
      <xdr:rowOff>53310</xdr:rowOff>
    </xdr:from>
    <xdr:to>
      <xdr:col>0</xdr:col>
      <xdr:colOff>608135</xdr:colOff>
      <xdr:row>2</xdr:row>
      <xdr:rowOff>80596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D676F2CB-23E5-4EB9-AC82-43463FAB3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651" y="119252"/>
          <a:ext cx="403484" cy="364325"/>
        </a:xfrm>
        <a:prstGeom prst="rect">
          <a:avLst/>
        </a:prstGeom>
      </xdr:spPr>
    </xdr:pic>
    <xdr:clientData/>
  </xdr:twoCellAnchor>
  <xdr:twoCellAnchor editAs="oneCell">
    <xdr:from>
      <xdr:col>4</xdr:col>
      <xdr:colOff>441764</xdr:colOff>
      <xdr:row>1</xdr:row>
      <xdr:rowOff>51288</xdr:rowOff>
    </xdr:from>
    <xdr:to>
      <xdr:col>5</xdr:col>
      <xdr:colOff>283657</xdr:colOff>
      <xdr:row>2</xdr:row>
      <xdr:rowOff>104774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EB730B4D-9AC9-4D88-8BB4-B560119C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664" y="117963"/>
          <a:ext cx="422918" cy="386861"/>
        </a:xfrm>
        <a:prstGeom prst="rect">
          <a:avLst/>
        </a:prstGeom>
      </xdr:spPr>
    </xdr:pic>
    <xdr:clientData/>
  </xdr:twoCellAnchor>
  <xdr:twoCellAnchor editAs="oneCell">
    <xdr:from>
      <xdr:col>2</xdr:col>
      <xdr:colOff>120294</xdr:colOff>
      <xdr:row>28</xdr:row>
      <xdr:rowOff>8623</xdr:rowOff>
    </xdr:from>
    <xdr:to>
      <xdr:col>5</xdr:col>
      <xdr:colOff>514350</xdr:colOff>
      <xdr:row>31</xdr:row>
      <xdr:rowOff>59652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1527F903-A2BC-4D81-BA20-D2EBAF84D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82694" y="4799698"/>
          <a:ext cx="2308581" cy="536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197324</xdr:colOff>
      <xdr:row>1</xdr:row>
      <xdr:rowOff>60638</xdr:rowOff>
    </xdr:from>
    <xdr:to>
      <xdr:col>0</xdr:col>
      <xdr:colOff>600808</xdr:colOff>
      <xdr:row>2</xdr:row>
      <xdr:rowOff>107157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E862BF54-F571-445F-86EB-47EF2D605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24" y="126122"/>
          <a:ext cx="403484" cy="379894"/>
        </a:xfrm>
        <a:prstGeom prst="rect">
          <a:avLst/>
        </a:prstGeom>
      </xdr:spPr>
    </xdr:pic>
    <xdr:clientData/>
  </xdr:twoCellAnchor>
  <xdr:twoCellAnchor editAs="oneCell">
    <xdr:from>
      <xdr:col>4</xdr:col>
      <xdr:colOff>463745</xdr:colOff>
      <xdr:row>1</xdr:row>
      <xdr:rowOff>54494</xdr:rowOff>
    </xdr:from>
    <xdr:to>
      <xdr:col>5</xdr:col>
      <xdr:colOff>305638</xdr:colOff>
      <xdr:row>2</xdr:row>
      <xdr:rowOff>95250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242D3FD2-F2FB-47BB-8011-1F58DFB28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6073" y="119978"/>
          <a:ext cx="425299" cy="374131"/>
        </a:xfrm>
        <a:prstGeom prst="rect">
          <a:avLst/>
        </a:prstGeom>
      </xdr:spPr>
    </xdr:pic>
    <xdr:clientData/>
  </xdr:twoCellAnchor>
  <xdr:twoCellAnchor editAs="oneCell">
    <xdr:from>
      <xdr:col>2</xdr:col>
      <xdr:colOff>263169</xdr:colOff>
      <xdr:row>22</xdr:row>
      <xdr:rowOff>2670</xdr:rowOff>
    </xdr:from>
    <xdr:to>
      <xdr:col>5</xdr:col>
      <xdr:colOff>657225</xdr:colOff>
      <xdr:row>25</xdr:row>
      <xdr:rowOff>53699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58F84D78-162F-4D48-BA66-866A1A44A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221997" y="3979358"/>
          <a:ext cx="2310962" cy="5332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197324</xdr:colOff>
      <xdr:row>1</xdr:row>
      <xdr:rowOff>60638</xdr:rowOff>
    </xdr:from>
    <xdr:to>
      <xdr:col>0</xdr:col>
      <xdr:colOff>600808</xdr:colOff>
      <xdr:row>2</xdr:row>
      <xdr:rowOff>105103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47739B-F152-45AE-81A6-420F01E0C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24" y="126328"/>
          <a:ext cx="403484" cy="379482"/>
        </a:xfrm>
        <a:prstGeom prst="rect">
          <a:avLst/>
        </a:prstGeom>
      </xdr:spPr>
    </xdr:pic>
    <xdr:clientData/>
  </xdr:twoCellAnchor>
  <xdr:twoCellAnchor editAs="oneCell">
    <xdr:from>
      <xdr:col>4</xdr:col>
      <xdr:colOff>463745</xdr:colOff>
      <xdr:row>1</xdr:row>
      <xdr:rowOff>54494</xdr:rowOff>
    </xdr:from>
    <xdr:to>
      <xdr:col>5</xdr:col>
      <xdr:colOff>305638</xdr:colOff>
      <xdr:row>2</xdr:row>
      <xdr:rowOff>124810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80D79285-5678-4803-8D9A-CB357558C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331" y="120184"/>
          <a:ext cx="419962" cy="405333"/>
        </a:xfrm>
        <a:prstGeom prst="rect">
          <a:avLst/>
        </a:prstGeom>
      </xdr:spPr>
    </xdr:pic>
    <xdr:clientData/>
  </xdr:twoCellAnchor>
  <xdr:twoCellAnchor editAs="oneCell">
    <xdr:from>
      <xdr:col>2</xdr:col>
      <xdr:colOff>225397</xdr:colOff>
      <xdr:row>26</xdr:row>
      <xdr:rowOff>15191</xdr:rowOff>
    </xdr:from>
    <xdr:to>
      <xdr:col>5</xdr:col>
      <xdr:colOff>619453</xdr:colOff>
      <xdr:row>29</xdr:row>
      <xdr:rowOff>66221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B382AAB8-5085-4A92-9B58-456A6EDE20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186483" y="4652881"/>
          <a:ext cx="2305625" cy="5437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85099</xdr:colOff>
      <xdr:row>42</xdr:row>
      <xdr:rowOff>130555</xdr:rowOff>
    </xdr:from>
    <xdr:to>
      <xdr:col>7</xdr:col>
      <xdr:colOff>283078</xdr:colOff>
      <xdr:row>46</xdr:row>
      <xdr:rowOff>5718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57E0D2B9-C8FC-4BD1-AE88-ABCD3D57F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85599" y="6160613"/>
          <a:ext cx="2308133" cy="519932"/>
        </a:xfrm>
        <a:prstGeom prst="rect">
          <a:avLst/>
        </a:prstGeom>
      </xdr:spPr>
    </xdr:pic>
    <xdr:clientData/>
  </xdr:twoCellAnchor>
  <xdr:twoCellAnchor editAs="oneCell">
    <xdr:from>
      <xdr:col>0</xdr:col>
      <xdr:colOff>170636</xdr:colOff>
      <xdr:row>1</xdr:row>
      <xdr:rowOff>95249</xdr:rowOff>
    </xdr:from>
    <xdr:to>
      <xdr:col>1</xdr:col>
      <xdr:colOff>255253</xdr:colOff>
      <xdr:row>3</xdr:row>
      <xdr:rowOff>85726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35F2347D-E36B-4D82-A0B1-1850427BC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36" y="190499"/>
          <a:ext cx="551342" cy="528272"/>
        </a:xfrm>
        <a:prstGeom prst="rect">
          <a:avLst/>
        </a:prstGeom>
      </xdr:spPr>
    </xdr:pic>
    <xdr:clientData/>
  </xdr:twoCellAnchor>
  <xdr:twoCellAnchor editAs="oneCell">
    <xdr:from>
      <xdr:col>6</xdr:col>
      <xdr:colOff>297561</xdr:colOff>
      <xdr:row>1</xdr:row>
      <xdr:rowOff>114704</xdr:rowOff>
    </xdr:from>
    <xdr:to>
      <xdr:col>7</xdr:col>
      <xdr:colOff>253586</xdr:colOff>
      <xdr:row>3</xdr:row>
      <xdr:rowOff>63745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39FFE777-312E-4DEE-BB51-86EFD7CA9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211" y="209954"/>
          <a:ext cx="481366" cy="486836"/>
        </a:xfrm>
        <a:prstGeom prst="rect">
          <a:avLst/>
        </a:prstGeom>
      </xdr:spPr>
    </xdr:pic>
    <xdr:clientData/>
  </xdr:twoCellAnchor>
  <xdr:twoCellAnchor>
    <xdr:from>
      <xdr:col>1</xdr:col>
      <xdr:colOff>116315</xdr:colOff>
      <xdr:row>30</xdr:row>
      <xdr:rowOff>118783</xdr:rowOff>
    </xdr:from>
    <xdr:to>
      <xdr:col>6</xdr:col>
      <xdr:colOff>786090</xdr:colOff>
      <xdr:row>33</xdr:row>
      <xdr:rowOff>52879</xdr:rowOff>
    </xdr:to>
    <xdr:sp macro="" textlink="">
      <xdr:nvSpPr>
        <xdr:cNvPr id="13" name="Retângulo de cantos arredondados 1">
          <a:extLst>
            <a:ext uri="{FF2B5EF4-FFF2-40B4-BE49-F238E27FC236}">
              <a16:creationId xmlns:a16="http://schemas.microsoft.com/office/drawing/2014/main" xmlns="" id="{03038DFA-EE88-4D0F-8D8D-9AA0F240A4A7}"/>
            </a:ext>
          </a:extLst>
        </xdr:cNvPr>
        <xdr:cNvSpPr/>
      </xdr:nvSpPr>
      <xdr:spPr>
        <a:xfrm>
          <a:off x="583040" y="5538508"/>
          <a:ext cx="5518000" cy="419871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5.NSH\2022\15.1%20-%20Obras%20em%20Contrato%202022\2022.xx-%20Reforma%20CRAS%20%20e%20Secretaria%20de%20Assist&#234;ncia%20Social\1.0%20Projeto%20e%20Estudo%20Inicial\PLANILHA%20OR&#199;AMENT&#193;RIA%20REFORMA%20CRAS%20R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ORÇAMENTO"/>
      <sheetName val="PLANILHA ORÇAMENTÁRIA "/>
      <sheetName val="CRONOGRAMA "/>
      <sheetName val="BDI"/>
      <sheetName val="COMPOSIÇÃO I"/>
      <sheetName val="COMPOSIÇÃO II"/>
      <sheetName val="COMPOSIÇÁO III"/>
      <sheetName val="COMPOSIÇÃO IV"/>
    </sheetNames>
    <sheetDataSet>
      <sheetData sheetId="0"/>
      <sheetData sheetId="1"/>
      <sheetData sheetId="2"/>
      <sheetData sheetId="3">
        <row r="4">
          <cell r="E4">
            <v>0.23535496426352442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zoomScale="160" zoomScaleNormal="160" workbookViewId="0">
      <selection activeCell="B13" sqref="B13:E13"/>
    </sheetView>
  </sheetViews>
  <sheetFormatPr defaultRowHeight="12.75" x14ac:dyDescent="0.2"/>
  <cols>
    <col min="1" max="1" width="7.33203125" customWidth="1"/>
    <col min="2" max="2" width="10.5" customWidth="1"/>
    <col min="3" max="3" width="58.83203125" customWidth="1"/>
    <col min="4" max="4" width="6.83203125" customWidth="1"/>
    <col min="5" max="5" width="7.1640625" customWidth="1"/>
    <col min="6" max="6" width="7.5" customWidth="1"/>
    <col min="7" max="7" width="8.5" customWidth="1"/>
    <col min="8" max="8" width="10.5" customWidth="1"/>
    <col min="10" max="10" width="11.1640625" bestFit="1" customWidth="1"/>
    <col min="11" max="11" width="13" bestFit="1" customWidth="1"/>
  </cols>
  <sheetData>
    <row r="1" spans="1:8" ht="6.75" customHeight="1" thickBot="1" x14ac:dyDescent="0.25">
      <c r="A1" s="228"/>
      <c r="B1" s="229"/>
      <c r="C1" s="229"/>
      <c r="D1" s="229"/>
      <c r="E1" s="229"/>
      <c r="F1" s="229"/>
      <c r="G1" s="229"/>
      <c r="H1" s="230"/>
    </row>
    <row r="2" spans="1:8" ht="26.25" customHeight="1" x14ac:dyDescent="0.2">
      <c r="A2" s="231"/>
      <c r="B2" s="232"/>
      <c r="C2" s="233" t="s">
        <v>73</v>
      </c>
      <c r="D2" s="236" t="s">
        <v>147</v>
      </c>
      <c r="E2" s="237"/>
      <c r="F2" s="238"/>
      <c r="G2" s="239"/>
      <c r="H2" s="240"/>
    </row>
    <row r="3" spans="1:8" ht="13.5" customHeight="1" x14ac:dyDescent="0.2">
      <c r="A3" s="231"/>
      <c r="B3" s="232"/>
      <c r="C3" s="234"/>
      <c r="D3" s="241" t="s">
        <v>1</v>
      </c>
      <c r="E3" s="242"/>
      <c r="F3" s="243"/>
      <c r="G3" s="239"/>
      <c r="H3" s="240"/>
    </row>
    <row r="4" spans="1:8" ht="17.25" customHeight="1" thickBot="1" x14ac:dyDescent="0.25">
      <c r="A4" s="231"/>
      <c r="B4" s="232"/>
      <c r="C4" s="235"/>
      <c r="D4" s="176" t="s">
        <v>79</v>
      </c>
      <c r="E4" s="244">
        <f>BDI!E4</f>
        <v>0.23535496426352442</v>
      </c>
      <c r="F4" s="245"/>
      <c r="G4" s="239"/>
      <c r="H4" s="240"/>
    </row>
    <row r="5" spans="1:8" ht="10.35" customHeight="1" thickBot="1" x14ac:dyDescent="0.25">
      <c r="A5" s="246" t="s">
        <v>68</v>
      </c>
      <c r="B5" s="247"/>
      <c r="C5" s="247"/>
      <c r="D5" s="247"/>
      <c r="E5" s="247"/>
      <c r="F5" s="247"/>
      <c r="G5" s="247"/>
      <c r="H5" s="248"/>
    </row>
    <row r="6" spans="1:8" ht="21" customHeight="1" x14ac:dyDescent="0.2">
      <c r="A6" s="16" t="s">
        <v>3</v>
      </c>
      <c r="B6" s="249" t="s">
        <v>146</v>
      </c>
      <c r="C6" s="249"/>
      <c r="D6" s="249"/>
      <c r="E6" s="249"/>
      <c r="F6" s="249"/>
      <c r="G6" s="249"/>
      <c r="H6" s="29" t="s">
        <v>75</v>
      </c>
    </row>
    <row r="7" spans="1:8" ht="13.5" customHeight="1" thickBot="1" x14ac:dyDescent="0.25">
      <c r="A7" s="16" t="s">
        <v>64</v>
      </c>
      <c r="B7" s="250" t="s">
        <v>148</v>
      </c>
      <c r="C7" s="250"/>
      <c r="D7" s="250"/>
      <c r="E7" s="250"/>
      <c r="F7" s="250"/>
      <c r="G7" s="250"/>
      <c r="H7" s="34">
        <f ca="1">TODAY()</f>
        <v>44734</v>
      </c>
    </row>
    <row r="8" spans="1:8" ht="15.75" customHeight="1" thickBot="1" x14ac:dyDescent="0.25">
      <c r="A8" s="251" t="s">
        <v>76</v>
      </c>
      <c r="B8" s="252"/>
      <c r="C8" s="252"/>
      <c r="D8" s="252"/>
      <c r="E8" s="252"/>
      <c r="F8" s="252"/>
      <c r="G8" s="252"/>
      <c r="H8" s="253"/>
    </row>
    <row r="9" spans="1:8" x14ac:dyDescent="0.15">
      <c r="A9" s="208">
        <v>1</v>
      </c>
      <c r="B9" s="254" t="str">
        <f>'PLANILHA ORÇAMENTÁRIA'!C10</f>
        <v>ADMINISTRAÇÃO DE OBRA</v>
      </c>
      <c r="C9" s="254"/>
      <c r="D9" s="254"/>
      <c r="E9" s="254"/>
      <c r="F9" s="78">
        <f>G9/G18</f>
        <v>2.793269419137856E-2</v>
      </c>
      <c r="G9" s="255">
        <f>'PLANILHA ORÇAMENTÁRIA'!H10</f>
        <v>18696.652656341306</v>
      </c>
      <c r="H9" s="256"/>
    </row>
    <row r="10" spans="1:8" ht="12.75" customHeight="1" x14ac:dyDescent="0.15">
      <c r="A10" s="208">
        <v>2</v>
      </c>
      <c r="B10" s="262" t="str">
        <f>'PLANILHA ORÇAMENTÁRIA'!C12</f>
        <v xml:space="preserve">SERVIÇOS PRELIMINARES, DEMOLIÇÕES, RETIRADAS E  MOVIMENTAÇÃO DE TERRA </v>
      </c>
      <c r="C10" s="263"/>
      <c r="D10" s="263"/>
      <c r="E10" s="264"/>
      <c r="F10" s="79">
        <f>G10/G18</f>
        <v>4.8428277529541548E-2</v>
      </c>
      <c r="G10" s="265">
        <f>'PLANILHA ORÇAMENTÁRIA'!H12</f>
        <v>32415.300776614793</v>
      </c>
      <c r="H10" s="266"/>
    </row>
    <row r="11" spans="1:8" ht="12.75" customHeight="1" x14ac:dyDescent="0.15">
      <c r="A11" s="208">
        <v>3</v>
      </c>
      <c r="B11" s="223" t="str">
        <f>'PLANILHA ORÇAMENTÁRIA'!C23</f>
        <v>ESQUADRIAS</v>
      </c>
      <c r="C11" s="224"/>
      <c r="D11" s="224"/>
      <c r="E11" s="225"/>
      <c r="F11" s="79">
        <f>G11/G18</f>
        <v>2.7945124545189059E-2</v>
      </c>
      <c r="G11" s="267">
        <f>'PLANILHA ORÇAMENTÁRIA'!H23</f>
        <v>18704.972870854021</v>
      </c>
      <c r="H11" s="268"/>
    </row>
    <row r="12" spans="1:8" x14ac:dyDescent="0.15">
      <c r="A12" s="208">
        <v>4</v>
      </c>
      <c r="B12" s="223" t="str">
        <f>'PLANILHA ORÇAMENTÁRIA'!C29</f>
        <v>ALMABRADO E PORTÃO</v>
      </c>
      <c r="C12" s="224"/>
      <c r="D12" s="224"/>
      <c r="E12" s="225"/>
      <c r="F12" s="80">
        <f>G12/G18</f>
        <v>0.12210392817110173</v>
      </c>
      <c r="G12" s="226">
        <f>'PLANILHA ORÇAMENTÁRIA'!H29</f>
        <v>81729.843793391265</v>
      </c>
      <c r="H12" s="227"/>
    </row>
    <row r="13" spans="1:8" ht="12.75" customHeight="1" x14ac:dyDescent="0.15">
      <c r="A13" s="208">
        <v>5</v>
      </c>
      <c r="B13" s="223" t="str">
        <f>'PLANILHA ORÇAMENTÁRIA'!C32</f>
        <v>PINTURAS</v>
      </c>
      <c r="C13" s="224"/>
      <c r="D13" s="224"/>
      <c r="E13" s="225"/>
      <c r="F13" s="80">
        <f>G13/G18</f>
        <v>8.2304044879822638E-2</v>
      </c>
      <c r="G13" s="226">
        <f>'PLANILHA ORÇAMENTÁRIA'!H32</f>
        <v>55089.928983825863</v>
      </c>
      <c r="H13" s="227"/>
    </row>
    <row r="14" spans="1:8" ht="12.75" customHeight="1" x14ac:dyDescent="0.15">
      <c r="A14" s="208">
        <v>6</v>
      </c>
      <c r="B14" s="223" t="str">
        <f>'PLANILHA ORÇAMENTÁRIA'!C42</f>
        <v xml:space="preserve">PISOS E CALÇAMENTOS </v>
      </c>
      <c r="C14" s="224"/>
      <c r="D14" s="224"/>
      <c r="E14" s="225"/>
      <c r="F14" s="80">
        <f>G14/G18</f>
        <v>0.24047581449257707</v>
      </c>
      <c r="G14" s="226">
        <f>'PLANILHA ORÇAMENTÁRIA'!H42</f>
        <v>160961.65822794859</v>
      </c>
      <c r="H14" s="227"/>
    </row>
    <row r="15" spans="1:8" ht="12.75" customHeight="1" x14ac:dyDescent="0.15">
      <c r="A15" s="208">
        <v>7</v>
      </c>
      <c r="B15" s="223" t="str">
        <f>'PLANILHA ORÇAMENTÁRIA'!C46</f>
        <v xml:space="preserve">COBERTURA </v>
      </c>
      <c r="C15" s="224"/>
      <c r="D15" s="224"/>
      <c r="E15" s="225"/>
      <c r="F15" s="80">
        <f>G15/G18</f>
        <v>0.40630071881932156</v>
      </c>
      <c r="G15" s="226">
        <f>'PLANILHA ORÇAMENTÁRIA'!H46</f>
        <v>271955.98683535878</v>
      </c>
      <c r="H15" s="227"/>
    </row>
    <row r="16" spans="1:8" ht="12.75" customHeight="1" x14ac:dyDescent="0.15">
      <c r="A16" s="208">
        <v>8</v>
      </c>
      <c r="B16" s="223" t="str">
        <f>'PLANILHA ORÇAMENTÁRIA'!C56</f>
        <v>FORRAMENTO</v>
      </c>
      <c r="C16" s="224"/>
      <c r="D16" s="224"/>
      <c r="E16" s="225"/>
      <c r="F16" s="80">
        <f>G16/G18</f>
        <v>4.1185466117220133E-2</v>
      </c>
      <c r="G16" s="226">
        <f>'PLANILHA ORÇAMENTÁRIA'!H56</f>
        <v>27567.349902139013</v>
      </c>
      <c r="H16" s="227"/>
    </row>
    <row r="17" spans="1:11" ht="12.75" customHeight="1" thickBot="1" x14ac:dyDescent="0.2">
      <c r="A17" s="208">
        <v>9</v>
      </c>
      <c r="B17" s="223" t="str">
        <f>'PLANILHA ORÇAMENTÁRIA'!C58</f>
        <v xml:space="preserve">INSTALAÇÕES SANITÁRIAS </v>
      </c>
      <c r="C17" s="224"/>
      <c r="D17" s="224"/>
      <c r="E17" s="225"/>
      <c r="F17" s="80">
        <f>G17/G18</f>
        <v>3.3239312538475233E-3</v>
      </c>
      <c r="G17" s="226">
        <f>'PLANILHA ORÇAMENTÁRIA'!H58</f>
        <v>2224.8619370889651</v>
      </c>
      <c r="H17" s="227"/>
    </row>
    <row r="18" spans="1:11" ht="14.25" customHeight="1" thickBot="1" x14ac:dyDescent="0.25">
      <c r="A18" s="257" t="s">
        <v>0</v>
      </c>
      <c r="B18" s="258"/>
      <c r="C18" s="258"/>
      <c r="D18" s="258"/>
      <c r="E18" s="259"/>
      <c r="F18" s="106">
        <f>SUM(F9:F17)</f>
        <v>1</v>
      </c>
      <c r="G18" s="260">
        <f>SUM(G9:H17)</f>
        <v>669346.55598356272</v>
      </c>
      <c r="H18" s="261"/>
      <c r="J18" s="177"/>
      <c r="K18" s="9"/>
    </row>
    <row r="23" spans="1:11" x14ac:dyDescent="0.2">
      <c r="H23" s="9"/>
    </row>
    <row r="24" spans="1:11" x14ac:dyDescent="0.2">
      <c r="H24" s="9"/>
    </row>
    <row r="25" spans="1:11" x14ac:dyDescent="0.2">
      <c r="H25" s="9"/>
    </row>
    <row r="26" spans="1:11" x14ac:dyDescent="0.2">
      <c r="H26" s="9"/>
    </row>
    <row r="27" spans="1:11" x14ac:dyDescent="0.2">
      <c r="H27" s="9"/>
    </row>
    <row r="28" spans="1:11" x14ac:dyDescent="0.2">
      <c r="H28" s="9"/>
    </row>
    <row r="29" spans="1:11" x14ac:dyDescent="0.2">
      <c r="H29" s="9"/>
    </row>
    <row r="30" spans="1:11" x14ac:dyDescent="0.2">
      <c r="H30" s="9"/>
    </row>
  </sheetData>
  <mergeCells count="31">
    <mergeCell ref="A18:E18"/>
    <mergeCell ref="G18:H18"/>
    <mergeCell ref="B10:E10"/>
    <mergeCell ref="G10:H10"/>
    <mergeCell ref="B11:E11"/>
    <mergeCell ref="G11:H11"/>
    <mergeCell ref="B12:E12"/>
    <mergeCell ref="G12:H12"/>
    <mergeCell ref="B17:E17"/>
    <mergeCell ref="G17:H17"/>
    <mergeCell ref="B13:E13"/>
    <mergeCell ref="G13:H13"/>
    <mergeCell ref="B14:E14"/>
    <mergeCell ref="G14:H14"/>
    <mergeCell ref="B15:E15"/>
    <mergeCell ref="G15:H15"/>
    <mergeCell ref="B16:E16"/>
    <mergeCell ref="G16:H16"/>
    <mergeCell ref="A1:H1"/>
    <mergeCell ref="A2:B4"/>
    <mergeCell ref="C2:C4"/>
    <mergeCell ref="D2:F2"/>
    <mergeCell ref="G2:H4"/>
    <mergeCell ref="D3:F3"/>
    <mergeCell ref="E4:F4"/>
    <mergeCell ref="A5:H5"/>
    <mergeCell ref="B6:G6"/>
    <mergeCell ref="B7:G7"/>
    <mergeCell ref="A8:H8"/>
    <mergeCell ref="B9:E9"/>
    <mergeCell ref="G9:H9"/>
  </mergeCells>
  <pageMargins left="0.25" right="0.25" top="0.75" bottom="0.75" header="0.3" footer="0.3"/>
  <pageSetup paperSize="9" scale="56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zoomScale="145" zoomScaleNormal="145" workbookViewId="0">
      <selection activeCell="B16" sqref="B16:C16"/>
    </sheetView>
  </sheetViews>
  <sheetFormatPr defaultRowHeight="12.75" x14ac:dyDescent="0.2"/>
  <cols>
    <col min="1" max="1" width="6.83203125" customWidth="1"/>
    <col min="2" max="2" width="11.33203125" customWidth="1"/>
    <col min="3" max="3" width="61.33203125" customWidth="1"/>
    <col min="4" max="4" width="7.1640625" customWidth="1"/>
    <col min="5" max="5" width="8.6640625" customWidth="1"/>
    <col min="6" max="7" width="6.6640625" customWidth="1"/>
    <col min="8" max="8" width="12.33203125" customWidth="1"/>
    <col min="9" max="9" width="7.83203125" customWidth="1"/>
    <col min="10" max="10" width="13.6640625" customWidth="1"/>
    <col min="11" max="11" width="8.6640625" customWidth="1"/>
    <col min="12" max="12" width="14.1640625" bestFit="1" customWidth="1"/>
    <col min="14" max="14" width="14.5" bestFit="1" customWidth="1"/>
    <col min="16" max="16" width="14.33203125" bestFit="1" customWidth="1"/>
  </cols>
  <sheetData>
    <row r="1" spans="1:13" ht="3" customHeight="1" thickBot="1" x14ac:dyDescent="0.25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30"/>
      <c r="M1" s="20"/>
    </row>
    <row r="2" spans="1:13" ht="24.95" customHeight="1" x14ac:dyDescent="0.2">
      <c r="A2" s="475"/>
      <c r="B2" s="476"/>
      <c r="C2" s="483" t="s">
        <v>73</v>
      </c>
      <c r="D2" s="484"/>
      <c r="E2" s="484"/>
      <c r="F2" s="484"/>
      <c r="G2" s="484"/>
      <c r="H2" s="485"/>
      <c r="I2" s="479" t="s">
        <v>147</v>
      </c>
      <c r="J2" s="480"/>
      <c r="K2" s="477"/>
      <c r="L2" s="478"/>
      <c r="M2" s="20"/>
    </row>
    <row r="3" spans="1:13" ht="13.7" customHeight="1" x14ac:dyDescent="0.2">
      <c r="A3" s="231"/>
      <c r="B3" s="232"/>
      <c r="C3" s="486"/>
      <c r="D3" s="487"/>
      <c r="E3" s="487"/>
      <c r="F3" s="487"/>
      <c r="G3" s="487"/>
      <c r="H3" s="488"/>
      <c r="I3" s="481" t="s">
        <v>1</v>
      </c>
      <c r="J3" s="482"/>
      <c r="K3" s="239"/>
      <c r="L3" s="240"/>
      <c r="M3" s="20"/>
    </row>
    <row r="4" spans="1:13" ht="17.25" customHeight="1" thickBot="1" x14ac:dyDescent="0.25">
      <c r="A4" s="231"/>
      <c r="B4" s="232"/>
      <c r="C4" s="489"/>
      <c r="D4" s="490"/>
      <c r="E4" s="490"/>
      <c r="F4" s="490"/>
      <c r="G4" s="490"/>
      <c r="H4" s="491"/>
      <c r="I4" s="174" t="s">
        <v>2</v>
      </c>
      <c r="J4" s="175">
        <f>BDI!E4</f>
        <v>0.23535496426352442</v>
      </c>
      <c r="K4" s="239"/>
      <c r="L4" s="240"/>
      <c r="M4" s="20"/>
    </row>
    <row r="5" spans="1:13" ht="9.75" customHeight="1" thickBot="1" x14ac:dyDescent="0.25">
      <c r="A5" s="274" t="s">
        <v>68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6"/>
      <c r="M5" s="20"/>
    </row>
    <row r="6" spans="1:13" ht="21.75" customHeight="1" x14ac:dyDescent="0.2">
      <c r="A6" s="40" t="s">
        <v>3</v>
      </c>
      <c r="B6" s="249" t="s">
        <v>146</v>
      </c>
      <c r="C6" s="249"/>
      <c r="D6" s="249"/>
      <c r="E6" s="249"/>
      <c r="F6" s="249"/>
      <c r="G6" s="249"/>
      <c r="H6" s="249"/>
      <c r="I6" s="249"/>
      <c r="J6" s="249"/>
      <c r="K6" s="249"/>
      <c r="L6" s="29" t="s">
        <v>75</v>
      </c>
      <c r="M6" s="20"/>
    </row>
    <row r="7" spans="1:13" ht="13.5" customHeight="1" thickBot="1" x14ac:dyDescent="0.25">
      <c r="A7" s="40" t="s">
        <v>64</v>
      </c>
      <c r="B7" s="471" t="s">
        <v>148</v>
      </c>
      <c r="C7" s="471"/>
      <c r="D7" s="471"/>
      <c r="E7" s="471"/>
      <c r="F7" s="471"/>
      <c r="G7" s="471"/>
      <c r="H7" s="471"/>
      <c r="I7" s="471"/>
      <c r="J7" s="471"/>
      <c r="K7" s="471"/>
      <c r="L7" s="30">
        <f ca="1">TODAY()</f>
        <v>44734</v>
      </c>
      <c r="M7" s="20"/>
    </row>
    <row r="8" spans="1:13" ht="13.5" thickBot="1" x14ac:dyDescent="0.25">
      <c r="A8" s="472" t="s">
        <v>78</v>
      </c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4"/>
      <c r="M8" s="20"/>
    </row>
    <row r="9" spans="1:13" ht="13.5" customHeight="1" x14ac:dyDescent="0.2">
      <c r="A9" s="457" t="s">
        <v>71</v>
      </c>
      <c r="B9" s="458"/>
      <c r="C9" s="458"/>
      <c r="D9" s="458"/>
      <c r="E9" s="458"/>
      <c r="F9" s="459"/>
      <c r="G9" s="133" t="s">
        <v>67</v>
      </c>
      <c r="H9" s="134" t="s">
        <v>66</v>
      </c>
      <c r="I9" s="133" t="s">
        <v>67</v>
      </c>
      <c r="J9" s="134" t="s">
        <v>110</v>
      </c>
      <c r="K9" s="133" t="s">
        <v>67</v>
      </c>
      <c r="L9" s="133" t="s">
        <v>184</v>
      </c>
    </row>
    <row r="10" spans="1:13" x14ac:dyDescent="0.15">
      <c r="A10" s="135">
        <v>1</v>
      </c>
      <c r="B10" s="454" t="str">
        <f>'RESUMO ORÇ.'!B9</f>
        <v>ADMINISTRAÇÃO DE OBRA</v>
      </c>
      <c r="C10" s="454"/>
      <c r="D10" s="53">
        <f>E10/E19</f>
        <v>2.793269419137856E-2</v>
      </c>
      <c r="E10" s="455">
        <f>'RESUMO ORÇ.'!G9</f>
        <v>18696.652656341306</v>
      </c>
      <c r="F10" s="456"/>
      <c r="G10" s="55">
        <v>0.33300000000000002</v>
      </c>
      <c r="H10" s="54">
        <f>G10*E10</f>
        <v>6225.9853345616557</v>
      </c>
      <c r="I10" s="55">
        <v>0.33300000000000002</v>
      </c>
      <c r="J10" s="54">
        <f t="shared" ref="J10:J18" si="0">I10*E10</f>
        <v>6225.9853345616557</v>
      </c>
      <c r="K10" s="55">
        <v>0.33400000000000002</v>
      </c>
      <c r="L10" s="136">
        <f>K10*E10</f>
        <v>6244.6819872179967</v>
      </c>
    </row>
    <row r="11" spans="1:13" ht="12.75" customHeight="1" x14ac:dyDescent="0.15">
      <c r="A11" s="135">
        <v>2</v>
      </c>
      <c r="B11" s="454" t="str">
        <f>'RESUMO ORÇ.'!B10</f>
        <v xml:space="preserve">SERVIÇOS PRELIMINARES, DEMOLIÇÕES, RETIRADAS E  MOVIMENTAÇÃO DE TERRA </v>
      </c>
      <c r="C11" s="454"/>
      <c r="D11" s="53">
        <f>E11/E19</f>
        <v>4.8428277529541548E-2</v>
      </c>
      <c r="E11" s="455">
        <f>'RESUMO ORÇ.'!G10</f>
        <v>32415.300776614793</v>
      </c>
      <c r="F11" s="456"/>
      <c r="G11" s="55">
        <v>1</v>
      </c>
      <c r="H11" s="54">
        <f t="shared" ref="H11:H18" si="1">G11*E11</f>
        <v>32415.300776614793</v>
      </c>
      <c r="I11" s="55">
        <v>0</v>
      </c>
      <c r="J11" s="54">
        <f t="shared" si="0"/>
        <v>0</v>
      </c>
      <c r="K11" s="55">
        <v>0</v>
      </c>
      <c r="L11" s="136">
        <f t="shared" ref="L11:L18" si="2">K11*E11</f>
        <v>0</v>
      </c>
    </row>
    <row r="12" spans="1:13" x14ac:dyDescent="0.15">
      <c r="A12" s="135">
        <v>3</v>
      </c>
      <c r="B12" s="454" t="str">
        <f>'RESUMO ORÇ.'!B11</f>
        <v>ESQUADRIAS</v>
      </c>
      <c r="C12" s="454"/>
      <c r="D12" s="53">
        <f>E12/E19</f>
        <v>2.7945124545189059E-2</v>
      </c>
      <c r="E12" s="455">
        <f>'RESUMO ORÇ.'!G11</f>
        <v>18704.972870854021</v>
      </c>
      <c r="F12" s="456"/>
      <c r="G12" s="55">
        <v>0.5</v>
      </c>
      <c r="H12" s="54">
        <f t="shared" si="1"/>
        <v>9352.4864354270103</v>
      </c>
      <c r="I12" s="55">
        <v>0.5</v>
      </c>
      <c r="J12" s="54">
        <f t="shared" si="0"/>
        <v>9352.4864354270103</v>
      </c>
      <c r="K12" s="55">
        <v>0</v>
      </c>
      <c r="L12" s="136">
        <f t="shared" si="2"/>
        <v>0</v>
      </c>
    </row>
    <row r="13" spans="1:13" ht="13.5" customHeight="1" x14ac:dyDescent="0.15">
      <c r="A13" s="135">
        <v>4</v>
      </c>
      <c r="B13" s="454" t="str">
        <f>'RESUMO ORÇ.'!B12</f>
        <v>ALMABRADO E PORTÃO</v>
      </c>
      <c r="C13" s="454"/>
      <c r="D13" s="53">
        <f>E13/E19</f>
        <v>0.12210392817110173</v>
      </c>
      <c r="E13" s="455">
        <f>'RESUMO ORÇ.'!G12</f>
        <v>81729.843793391265</v>
      </c>
      <c r="F13" s="456"/>
      <c r="G13" s="55">
        <v>0</v>
      </c>
      <c r="H13" s="54">
        <f t="shared" si="1"/>
        <v>0</v>
      </c>
      <c r="I13" s="55">
        <v>0</v>
      </c>
      <c r="J13" s="54">
        <f t="shared" si="0"/>
        <v>0</v>
      </c>
      <c r="K13" s="55">
        <v>1</v>
      </c>
      <c r="L13" s="136">
        <f t="shared" si="2"/>
        <v>81729.843793391265</v>
      </c>
    </row>
    <row r="14" spans="1:13" ht="13.5" customHeight="1" x14ac:dyDescent="0.15">
      <c r="A14" s="135">
        <v>5</v>
      </c>
      <c r="B14" s="454" t="str">
        <f>'RESUMO ORÇ.'!B13</f>
        <v>PINTURAS</v>
      </c>
      <c r="C14" s="454"/>
      <c r="D14" s="53">
        <f>E14/E19</f>
        <v>8.2304044879822638E-2</v>
      </c>
      <c r="E14" s="455">
        <f>'RESUMO ORÇ.'!G13</f>
        <v>55089.928983825863</v>
      </c>
      <c r="F14" s="456"/>
      <c r="G14" s="55">
        <v>0.2</v>
      </c>
      <c r="H14" s="54">
        <f t="shared" si="1"/>
        <v>11017.985796765173</v>
      </c>
      <c r="I14" s="55">
        <v>0.4</v>
      </c>
      <c r="J14" s="54">
        <f t="shared" si="0"/>
        <v>22035.971593530347</v>
      </c>
      <c r="K14" s="55">
        <v>0.4</v>
      </c>
      <c r="L14" s="136">
        <f t="shared" si="2"/>
        <v>22035.971593530347</v>
      </c>
    </row>
    <row r="15" spans="1:13" ht="13.5" customHeight="1" x14ac:dyDescent="0.15">
      <c r="A15" s="135">
        <v>6</v>
      </c>
      <c r="B15" s="454" t="str">
        <f>'RESUMO ORÇ.'!B14</f>
        <v xml:space="preserve">PISOS E CALÇAMENTOS </v>
      </c>
      <c r="C15" s="454"/>
      <c r="D15" s="53">
        <f>E15/E19</f>
        <v>0.24047581449257707</v>
      </c>
      <c r="E15" s="455">
        <f>'RESUMO ORÇ.'!G14</f>
        <v>160961.65822794859</v>
      </c>
      <c r="F15" s="456"/>
      <c r="G15" s="55">
        <v>0.5</v>
      </c>
      <c r="H15" s="54">
        <f t="shared" si="1"/>
        <v>80480.829113974294</v>
      </c>
      <c r="I15" s="55">
        <v>0.5</v>
      </c>
      <c r="J15" s="54">
        <f t="shared" si="0"/>
        <v>80480.829113974294</v>
      </c>
      <c r="K15" s="55">
        <v>0</v>
      </c>
      <c r="L15" s="136">
        <f t="shared" si="2"/>
        <v>0</v>
      </c>
    </row>
    <row r="16" spans="1:13" ht="13.5" customHeight="1" x14ac:dyDescent="0.15">
      <c r="A16" s="135">
        <v>7</v>
      </c>
      <c r="B16" s="454" t="str">
        <f>'RESUMO ORÇ.'!B15</f>
        <v xml:space="preserve">COBERTURA </v>
      </c>
      <c r="C16" s="454"/>
      <c r="D16" s="53">
        <f>E16/E19</f>
        <v>0.40630071881932156</v>
      </c>
      <c r="E16" s="455">
        <f>'RESUMO ORÇ.'!G15</f>
        <v>271955.98683535878</v>
      </c>
      <c r="F16" s="456"/>
      <c r="G16" s="55">
        <v>1</v>
      </c>
      <c r="H16" s="54">
        <f t="shared" si="1"/>
        <v>271955.98683535878</v>
      </c>
      <c r="I16" s="55">
        <v>0</v>
      </c>
      <c r="J16" s="54">
        <f t="shared" si="0"/>
        <v>0</v>
      </c>
      <c r="K16" s="55">
        <v>0</v>
      </c>
      <c r="L16" s="136">
        <f t="shared" si="2"/>
        <v>0</v>
      </c>
    </row>
    <row r="17" spans="1:16" ht="13.5" customHeight="1" x14ac:dyDescent="0.15">
      <c r="A17" s="135">
        <v>8</v>
      </c>
      <c r="B17" s="454" t="str">
        <f>'RESUMO ORÇ.'!B16</f>
        <v>FORRAMENTO</v>
      </c>
      <c r="C17" s="454"/>
      <c r="D17" s="53">
        <f>E17/E19</f>
        <v>4.1185466117220133E-2</v>
      </c>
      <c r="E17" s="455">
        <f>'RESUMO ORÇ.'!G16</f>
        <v>27567.349902139013</v>
      </c>
      <c r="F17" s="456"/>
      <c r="G17" s="55">
        <v>1</v>
      </c>
      <c r="H17" s="54">
        <f t="shared" si="1"/>
        <v>27567.349902139013</v>
      </c>
      <c r="I17" s="55">
        <v>0</v>
      </c>
      <c r="J17" s="54">
        <f t="shared" si="0"/>
        <v>0</v>
      </c>
      <c r="K17" s="55">
        <v>0</v>
      </c>
      <c r="L17" s="136">
        <f t="shared" si="2"/>
        <v>0</v>
      </c>
    </row>
    <row r="18" spans="1:16" ht="13.5" customHeight="1" thickBot="1" x14ac:dyDescent="0.2">
      <c r="A18" s="135">
        <v>8</v>
      </c>
      <c r="B18" s="454" t="str">
        <f>'RESUMO ORÇ.'!B17</f>
        <v xml:space="preserve">INSTALAÇÕES SANITÁRIAS </v>
      </c>
      <c r="C18" s="454"/>
      <c r="D18" s="53">
        <f>E18/E19</f>
        <v>3.3239312538475233E-3</v>
      </c>
      <c r="E18" s="455">
        <f>'RESUMO ORÇ.'!G17</f>
        <v>2224.8619370889651</v>
      </c>
      <c r="F18" s="456"/>
      <c r="G18" s="55">
        <v>0</v>
      </c>
      <c r="H18" s="54">
        <f t="shared" si="1"/>
        <v>0</v>
      </c>
      <c r="I18" s="55">
        <v>0</v>
      </c>
      <c r="J18" s="54">
        <f t="shared" si="0"/>
        <v>0</v>
      </c>
      <c r="K18" s="55">
        <v>1</v>
      </c>
      <c r="L18" s="136">
        <f t="shared" si="2"/>
        <v>2224.8619370889651</v>
      </c>
    </row>
    <row r="19" spans="1:16" ht="13.5" thickBot="1" x14ac:dyDescent="0.2">
      <c r="A19" s="466" t="s">
        <v>70</v>
      </c>
      <c r="B19" s="467"/>
      <c r="C19" s="468"/>
      <c r="D19" s="86">
        <f>SUM(D10:D18)</f>
        <v>1</v>
      </c>
      <c r="E19" s="469">
        <f>SUM(E10:F18)</f>
        <v>669346.55598356272</v>
      </c>
      <c r="F19" s="470"/>
      <c r="G19" s="87">
        <f>H19/E19</f>
        <v>0.65588732812665984</v>
      </c>
      <c r="H19" s="88">
        <f>SUM(H10:H18)</f>
        <v>439015.92419484071</v>
      </c>
      <c r="I19" s="87">
        <f>J19/E19</f>
        <v>0.17643367463654119</v>
      </c>
      <c r="J19" s="88">
        <f>SUM(J10:J18)</f>
        <v>118095.2724774933</v>
      </c>
      <c r="K19" s="87">
        <f>L19/E19</f>
        <v>0.16767899723679874</v>
      </c>
      <c r="L19" s="137">
        <f>SUM(L10:L18)</f>
        <v>112235.35931122857</v>
      </c>
    </row>
    <row r="20" spans="1:16" ht="13.5" customHeight="1" thickBot="1" x14ac:dyDescent="0.2">
      <c r="A20" s="463" t="s">
        <v>69</v>
      </c>
      <c r="B20" s="464"/>
      <c r="C20" s="464"/>
      <c r="D20" s="464"/>
      <c r="E20" s="464"/>
      <c r="F20" s="464"/>
      <c r="G20" s="464"/>
      <c r="H20" s="464"/>
      <c r="I20" s="464"/>
      <c r="J20" s="465"/>
      <c r="K20" s="84">
        <f>L20/E19</f>
        <v>0.99999999999999978</v>
      </c>
      <c r="L20" s="85">
        <f>L19+J19+H19</f>
        <v>669346.5559835626</v>
      </c>
    </row>
    <row r="21" spans="1:16" ht="12.75" customHeight="1" x14ac:dyDescent="0.2">
      <c r="A21" s="46"/>
      <c r="B21" s="47"/>
      <c r="C21" s="27"/>
      <c r="D21" s="27"/>
      <c r="E21" s="27"/>
      <c r="F21" s="48"/>
      <c r="G21" s="48"/>
      <c r="H21" s="48"/>
      <c r="I21" s="44"/>
      <c r="J21" s="45"/>
      <c r="K21" s="45"/>
      <c r="L21" s="45"/>
      <c r="M21" s="20"/>
    </row>
    <row r="22" spans="1:16" x14ac:dyDescent="0.2">
      <c r="A22" s="46"/>
      <c r="B22" s="47"/>
      <c r="C22" s="27"/>
      <c r="D22" s="27"/>
      <c r="E22" s="27"/>
      <c r="F22" s="48"/>
      <c r="G22" s="48"/>
      <c r="H22" s="48"/>
      <c r="I22" s="44"/>
      <c r="J22" s="45"/>
      <c r="K22" s="45"/>
      <c r="L22" s="45"/>
      <c r="M22" s="20"/>
    </row>
    <row r="23" spans="1:16" ht="12.75" customHeight="1" x14ac:dyDescent="0.2">
      <c r="A23" s="50"/>
      <c r="B23" s="50"/>
      <c r="C23" s="50"/>
      <c r="D23" s="50"/>
      <c r="E23" s="50"/>
      <c r="L23" s="50"/>
      <c r="M23" s="20"/>
    </row>
    <row r="24" spans="1:16" ht="12.75" customHeight="1" x14ac:dyDescent="0.2">
      <c r="A24" s="46"/>
      <c r="B24" s="47"/>
      <c r="C24" s="27"/>
      <c r="D24" s="27"/>
      <c r="E24" s="27"/>
      <c r="L24" s="45"/>
      <c r="M24" s="20"/>
    </row>
    <row r="25" spans="1:16" ht="13.5" customHeight="1" x14ac:dyDescent="0.2">
      <c r="A25" s="46"/>
      <c r="B25" s="47"/>
      <c r="C25" s="27"/>
      <c r="D25" s="27"/>
      <c r="E25" s="27"/>
      <c r="F25" s="462"/>
      <c r="G25" s="462"/>
      <c r="H25" s="462"/>
      <c r="I25" s="462"/>
      <c r="J25" s="462"/>
      <c r="K25" s="462"/>
      <c r="L25" s="45"/>
      <c r="M25" s="20"/>
    </row>
    <row r="26" spans="1:16" ht="12.75" customHeight="1" x14ac:dyDescent="0.2">
      <c r="A26" s="41"/>
      <c r="B26" s="42"/>
      <c r="C26" s="49"/>
      <c r="D26" s="49"/>
      <c r="E26" s="49"/>
      <c r="F26" s="460"/>
      <c r="G26" s="460"/>
      <c r="H26" s="460"/>
      <c r="I26" s="460"/>
      <c r="J26" s="460"/>
      <c r="K26" s="460"/>
      <c r="L26" s="43"/>
      <c r="M26" s="20"/>
      <c r="N26" s="39"/>
      <c r="O26" s="39"/>
    </row>
    <row r="27" spans="1:16" x14ac:dyDescent="0.2">
      <c r="A27" s="46"/>
      <c r="B27" s="47"/>
      <c r="C27" s="27"/>
      <c r="D27" s="27"/>
      <c r="E27" s="27"/>
      <c r="F27" s="461"/>
      <c r="G27" s="461"/>
      <c r="H27" s="461"/>
      <c r="I27" s="461"/>
      <c r="J27" s="461"/>
      <c r="K27" s="461"/>
      <c r="L27" s="45"/>
      <c r="M27" s="20"/>
    </row>
    <row r="28" spans="1:16" ht="6.7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20"/>
    </row>
    <row r="29" spans="1:1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6" x14ac:dyDescent="0.2">
      <c r="F30" s="52"/>
      <c r="G30" s="52"/>
      <c r="H30" s="52"/>
      <c r="I30" s="52"/>
      <c r="J30" s="52"/>
      <c r="K30" s="28"/>
      <c r="L30" s="28"/>
      <c r="N30" s="9"/>
      <c r="P30" s="9"/>
    </row>
    <row r="34" spans="12:12" x14ac:dyDescent="0.2">
      <c r="L34" s="32"/>
    </row>
    <row r="35" spans="12:12" x14ac:dyDescent="0.2">
      <c r="L35" s="31"/>
    </row>
    <row r="36" spans="12:12" x14ac:dyDescent="0.2">
      <c r="L36" s="33"/>
    </row>
  </sheetData>
  <mergeCells count="35">
    <mergeCell ref="A1:L1"/>
    <mergeCell ref="A2:B4"/>
    <mergeCell ref="K2:L4"/>
    <mergeCell ref="I2:J2"/>
    <mergeCell ref="I3:J3"/>
    <mergeCell ref="C2:H4"/>
    <mergeCell ref="A5:L5"/>
    <mergeCell ref="B6:K6"/>
    <mergeCell ref="B7:K7"/>
    <mergeCell ref="A8:L8"/>
    <mergeCell ref="B11:C11"/>
    <mergeCell ref="B10:C10"/>
    <mergeCell ref="E10:F10"/>
    <mergeCell ref="E11:F11"/>
    <mergeCell ref="E15:F15"/>
    <mergeCell ref="A9:F9"/>
    <mergeCell ref="F26:K26"/>
    <mergeCell ref="F27:K27"/>
    <mergeCell ref="F25:K25"/>
    <mergeCell ref="A20:J20"/>
    <mergeCell ref="B12:C12"/>
    <mergeCell ref="A19:C19"/>
    <mergeCell ref="B13:C13"/>
    <mergeCell ref="E12:F12"/>
    <mergeCell ref="E13:F13"/>
    <mergeCell ref="E19:F19"/>
    <mergeCell ref="B14:C14"/>
    <mergeCell ref="E14:F14"/>
    <mergeCell ref="B15:C15"/>
    <mergeCell ref="B16:C16"/>
    <mergeCell ref="B18:C18"/>
    <mergeCell ref="E18:F18"/>
    <mergeCell ref="E16:F16"/>
    <mergeCell ref="B17:C17"/>
    <mergeCell ref="E17:F17"/>
  </mergeCells>
  <pageMargins left="0.25" right="0.25" top="0.75" bottom="0.75" header="0.3" footer="0.3"/>
  <pageSetup paperSize="9" scale="9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9"/>
  <sheetViews>
    <sheetView topLeftCell="A9" zoomScale="115" zoomScaleNormal="115" workbookViewId="0">
      <selection activeCell="N34" sqref="N34"/>
    </sheetView>
  </sheetViews>
  <sheetFormatPr defaultRowHeight="12.75" x14ac:dyDescent="0.2"/>
  <sheetData>
    <row r="4" spans="1:13" x14ac:dyDescent="0.2">
      <c r="A4" s="70" t="s">
        <v>104</v>
      </c>
      <c r="B4">
        <v>5</v>
      </c>
      <c r="C4">
        <v>22</v>
      </c>
      <c r="D4">
        <v>7.95</v>
      </c>
      <c r="E4">
        <v>0.2</v>
      </c>
      <c r="F4">
        <v>0.3</v>
      </c>
      <c r="G4">
        <f>(E4*2)+(F4*2)</f>
        <v>1</v>
      </c>
      <c r="H4">
        <f>D4/15</f>
        <v>0.53</v>
      </c>
      <c r="I4">
        <v>54</v>
      </c>
      <c r="J4">
        <f>I4*G4*C4</f>
        <v>1188</v>
      </c>
    </row>
    <row r="5" spans="1:13" x14ac:dyDescent="0.2">
      <c r="A5" s="70" t="s">
        <v>104</v>
      </c>
      <c r="B5">
        <v>5</v>
      </c>
      <c r="C5">
        <v>8</v>
      </c>
      <c r="D5">
        <v>6.45</v>
      </c>
      <c r="E5">
        <v>0.13</v>
      </c>
      <c r="F5">
        <v>0.18</v>
      </c>
      <c r="G5">
        <f>(E5*2)+(F5*2)</f>
        <v>0.62</v>
      </c>
      <c r="H5">
        <f>D5/15</f>
        <v>0.43</v>
      </c>
      <c r="I5">
        <v>44</v>
      </c>
      <c r="J5">
        <f>I5*G5*C5</f>
        <v>218.24</v>
      </c>
    </row>
    <row r="6" spans="1:13" x14ac:dyDescent="0.2">
      <c r="A6" s="70"/>
      <c r="K6">
        <f>J4+J5</f>
        <v>1406.24</v>
      </c>
      <c r="L6">
        <f>1.88/12</f>
        <v>0.15666666666666665</v>
      </c>
      <c r="M6">
        <f>K6*L6</f>
        <v>220.31093333333331</v>
      </c>
    </row>
    <row r="7" spans="1:13" x14ac:dyDescent="0.2">
      <c r="A7" s="70" t="s">
        <v>104</v>
      </c>
      <c r="B7">
        <v>8</v>
      </c>
      <c r="C7">
        <v>8</v>
      </c>
      <c r="D7">
        <v>6.45</v>
      </c>
      <c r="E7">
        <v>4</v>
      </c>
      <c r="J7">
        <f>C7*D7*E7</f>
        <v>206.4</v>
      </c>
      <c r="L7">
        <v>0.39500000000000002</v>
      </c>
      <c r="M7">
        <f>J7*L7</f>
        <v>81.528000000000006</v>
      </c>
    </row>
    <row r="8" spans="1:13" x14ac:dyDescent="0.2">
      <c r="A8" s="70"/>
    </row>
    <row r="9" spans="1:13" x14ac:dyDescent="0.2">
      <c r="A9" s="70" t="s">
        <v>104</v>
      </c>
      <c r="B9">
        <v>10</v>
      </c>
      <c r="C9">
        <v>8</v>
      </c>
      <c r="D9">
        <v>6.45</v>
      </c>
      <c r="E9">
        <v>4</v>
      </c>
      <c r="J9">
        <f>C9*D9*E9</f>
        <v>206.4</v>
      </c>
    </row>
    <row r="10" spans="1:13" x14ac:dyDescent="0.2">
      <c r="A10" s="70" t="s">
        <v>104</v>
      </c>
      <c r="B10">
        <v>10</v>
      </c>
      <c r="C10">
        <v>22</v>
      </c>
      <c r="D10">
        <v>7.95</v>
      </c>
      <c r="E10">
        <v>4</v>
      </c>
      <c r="J10">
        <f>C10*D10*E10</f>
        <v>699.6</v>
      </c>
    </row>
    <row r="11" spans="1:13" x14ac:dyDescent="0.2">
      <c r="K11">
        <f>J9+J10</f>
        <v>906</v>
      </c>
      <c r="L11">
        <v>0.61699999999999999</v>
      </c>
      <c r="M11">
        <f>K11*L11</f>
        <v>559.00199999999995</v>
      </c>
    </row>
    <row r="12" spans="1:13" x14ac:dyDescent="0.2">
      <c r="A12" s="70" t="s">
        <v>104</v>
      </c>
      <c r="B12">
        <v>12.5</v>
      </c>
      <c r="C12">
        <v>22</v>
      </c>
      <c r="D12">
        <v>7.95</v>
      </c>
      <c r="E12">
        <v>4</v>
      </c>
      <c r="J12">
        <f>C12*D12*E12</f>
        <v>699.6</v>
      </c>
      <c r="L12">
        <v>0.96299999999999997</v>
      </c>
      <c r="M12">
        <f>J12*L12</f>
        <v>673.71479999999997</v>
      </c>
    </row>
    <row r="18" spans="1:12" x14ac:dyDescent="0.2">
      <c r="A18" s="70" t="s">
        <v>105</v>
      </c>
    </row>
    <row r="20" spans="1:12" x14ac:dyDescent="0.2">
      <c r="A20" s="70" t="s">
        <v>106</v>
      </c>
      <c r="C20">
        <v>0.6</v>
      </c>
      <c r="D20">
        <v>0.85</v>
      </c>
      <c r="E20">
        <f>3.1416*((C20/2)*(C20/2))</f>
        <v>0.282744</v>
      </c>
      <c r="F20">
        <f>E20*D20</f>
        <v>0.2403324</v>
      </c>
      <c r="G20">
        <f>0.18*0.23</f>
        <v>4.1399999999999999E-2</v>
      </c>
      <c r="H20">
        <f>F20-G20</f>
        <v>0.19893240000000001</v>
      </c>
      <c r="I20">
        <v>8</v>
      </c>
      <c r="J20">
        <f>H20*I20</f>
        <v>1.5914592000000001</v>
      </c>
    </row>
    <row r="21" spans="1:12" x14ac:dyDescent="0.2">
      <c r="C21">
        <v>0.6</v>
      </c>
      <c r="D21">
        <v>0.85</v>
      </c>
      <c r="E21">
        <f>3.1416*((C21/2)*(C21/2))</f>
        <v>0.282744</v>
      </c>
      <c r="F21">
        <f>E21*D21</f>
        <v>0.2403324</v>
      </c>
      <c r="G21">
        <f>0.25*0.35</f>
        <v>8.7499999999999994E-2</v>
      </c>
      <c r="H21">
        <f>F21-G21</f>
        <v>0.15283240000000001</v>
      </c>
      <c r="I21">
        <v>22</v>
      </c>
      <c r="J21">
        <f>H21*I21</f>
        <v>3.3623128000000002</v>
      </c>
    </row>
    <row r="22" spans="1:12" x14ac:dyDescent="0.2">
      <c r="J22">
        <f>SUM(J20:J21)</f>
        <v>4.9537720000000007</v>
      </c>
    </row>
    <row r="24" spans="1:12" x14ac:dyDescent="0.2">
      <c r="A24" s="70" t="s">
        <v>108</v>
      </c>
      <c r="C24">
        <v>0.6</v>
      </c>
      <c r="D24">
        <v>1.5</v>
      </c>
      <c r="E24">
        <f>3.1416*((C24/2)*(C24/2))</f>
        <v>0.282744</v>
      </c>
      <c r="F24">
        <f>E24*D24</f>
        <v>0.42411599999999999</v>
      </c>
      <c r="I24">
        <v>30</v>
      </c>
      <c r="J24">
        <f>F24*I24</f>
        <v>12.72348</v>
      </c>
      <c r="L24" s="70" t="s">
        <v>145</v>
      </c>
    </row>
    <row r="26" spans="1:12" x14ac:dyDescent="0.2">
      <c r="A26" s="70" t="s">
        <v>107</v>
      </c>
      <c r="C26">
        <v>0.6</v>
      </c>
      <c r="D26">
        <v>0.65</v>
      </c>
      <c r="E26">
        <f>3.1416*((C26/2)*(C26/2))</f>
        <v>0.282744</v>
      </c>
      <c r="F26">
        <f>E26*D26</f>
        <v>0.18378359999999999</v>
      </c>
      <c r="G26">
        <f>0.18*0.23</f>
        <v>4.1399999999999999E-2</v>
      </c>
      <c r="H26">
        <f>F26-G26</f>
        <v>0.1423836</v>
      </c>
      <c r="I26">
        <v>8</v>
      </c>
      <c r="J26">
        <f>H26*I26</f>
        <v>1.1390688</v>
      </c>
    </row>
    <row r="27" spans="1:12" x14ac:dyDescent="0.2">
      <c r="C27">
        <v>0.6</v>
      </c>
      <c r="D27">
        <v>0.65</v>
      </c>
      <c r="E27">
        <f>3.1416*((C27/2)*(C27/2))</f>
        <v>0.282744</v>
      </c>
      <c r="F27">
        <f>E27*D27</f>
        <v>0.18378359999999999</v>
      </c>
      <c r="G27">
        <f>0.25*0.35</f>
        <v>8.7499999999999994E-2</v>
      </c>
      <c r="H27">
        <f>F27-G27</f>
        <v>9.6283599999999997E-2</v>
      </c>
      <c r="I27">
        <v>22</v>
      </c>
      <c r="J27">
        <f>H27*I27</f>
        <v>2.1182392000000001</v>
      </c>
    </row>
    <row r="28" spans="1:12" x14ac:dyDescent="0.2">
      <c r="J28">
        <f>SUM(J26:J27)</f>
        <v>3.2573080000000001</v>
      </c>
    </row>
    <row r="30" spans="1:12" x14ac:dyDescent="0.2">
      <c r="A30" s="70" t="s">
        <v>109</v>
      </c>
      <c r="C30">
        <v>0.6</v>
      </c>
      <c r="D30">
        <v>0.65</v>
      </c>
      <c r="E30">
        <f>3.1416*((C30/2)*(C30/2))</f>
        <v>0.282744</v>
      </c>
      <c r="I30">
        <v>30</v>
      </c>
      <c r="J30">
        <f>E30*I30</f>
        <v>8.4823199999999996</v>
      </c>
    </row>
    <row r="36" spans="1:13" x14ac:dyDescent="0.2">
      <c r="F36" s="70" t="s">
        <v>102</v>
      </c>
      <c r="H36" s="70" t="s">
        <v>101</v>
      </c>
      <c r="K36" s="70" t="s">
        <v>123</v>
      </c>
    </row>
    <row r="37" spans="1:13" x14ac:dyDescent="0.2">
      <c r="A37">
        <v>22</v>
      </c>
      <c r="B37">
        <v>0.25</v>
      </c>
      <c r="C37">
        <v>0.35</v>
      </c>
      <c r="D37">
        <v>8</v>
      </c>
      <c r="E37">
        <f>(B37*2)+(C37*2)</f>
        <v>1.2</v>
      </c>
      <c r="F37">
        <f>E37*D37*A37</f>
        <v>211.2</v>
      </c>
      <c r="G37">
        <f>B37*C37</f>
        <v>8.7499999999999994E-2</v>
      </c>
      <c r="H37">
        <f>D37*G37*A37</f>
        <v>15.399999999999999</v>
      </c>
      <c r="J37">
        <f>D37*E37*6</f>
        <v>57.599999999999994</v>
      </c>
      <c r="K37">
        <v>3</v>
      </c>
      <c r="L37">
        <f>D37*E37*4</f>
        <v>38.4</v>
      </c>
      <c r="M37">
        <f>J37*K37+L37</f>
        <v>211.2</v>
      </c>
    </row>
    <row r="38" spans="1:13" x14ac:dyDescent="0.2">
      <c r="A38">
        <v>8</v>
      </c>
      <c r="B38">
        <v>0.18</v>
      </c>
      <c r="C38">
        <v>0.23</v>
      </c>
      <c r="D38">
        <v>6.5</v>
      </c>
      <c r="E38">
        <f>(B38*2)+(C38*2)</f>
        <v>0.82000000000000006</v>
      </c>
      <c r="F38">
        <f>E38*D38*A38</f>
        <v>42.64</v>
      </c>
      <c r="G38">
        <f>B38*C38</f>
        <v>4.1399999999999999E-2</v>
      </c>
      <c r="H38">
        <f>D38*G38*A38</f>
        <v>2.1528</v>
      </c>
      <c r="J38">
        <f>D38*E38*2</f>
        <v>10.66</v>
      </c>
      <c r="K38">
        <v>4</v>
      </c>
      <c r="M38">
        <f>D38*E38*K38</f>
        <v>21.32</v>
      </c>
    </row>
    <row r="39" spans="1:13" x14ac:dyDescent="0.2">
      <c r="F39">
        <f>SUM(F37:F38)</f>
        <v>253.83999999999997</v>
      </c>
      <c r="H39">
        <f>SUM(H37:H38)</f>
        <v>17.552799999999998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workbookViewId="0">
      <selection activeCell="D18" sqref="D18"/>
    </sheetView>
  </sheetViews>
  <sheetFormatPr defaultRowHeight="12.75" x14ac:dyDescent="0.2"/>
  <cols>
    <col min="2" max="2" width="31.5" bestFit="1" customWidth="1"/>
    <col min="3" max="3" width="9.83203125" bestFit="1" customWidth="1"/>
    <col min="4" max="4" width="11.1640625" bestFit="1" customWidth="1"/>
    <col min="6" max="6" width="25.1640625" bestFit="1" customWidth="1"/>
    <col min="7" max="7" width="44.83203125" bestFit="1" customWidth="1"/>
    <col min="8" max="8" width="10.1640625" bestFit="1" customWidth="1"/>
    <col min="9" max="9" width="15.1640625" bestFit="1" customWidth="1"/>
  </cols>
  <sheetData>
    <row r="2" spans="1:10" x14ac:dyDescent="0.2">
      <c r="A2" t="s">
        <v>232</v>
      </c>
    </row>
    <row r="5" spans="1:10" x14ac:dyDescent="0.2">
      <c r="A5" t="s">
        <v>196</v>
      </c>
      <c r="B5" t="s">
        <v>197</v>
      </c>
      <c r="C5" t="s">
        <v>198</v>
      </c>
      <c r="D5" t="s">
        <v>199</v>
      </c>
      <c r="E5" t="s">
        <v>200</v>
      </c>
      <c r="F5" t="s">
        <v>201</v>
      </c>
      <c r="G5" t="s">
        <v>202</v>
      </c>
      <c r="H5" t="s">
        <v>230</v>
      </c>
      <c r="I5" t="s">
        <v>231</v>
      </c>
    </row>
    <row r="6" spans="1:10" x14ac:dyDescent="0.2">
      <c r="A6">
        <v>13</v>
      </c>
      <c r="B6" t="s">
        <v>207</v>
      </c>
      <c r="C6">
        <v>210</v>
      </c>
      <c r="D6">
        <v>80</v>
      </c>
      <c r="E6" t="s">
        <v>228</v>
      </c>
      <c r="F6" t="s">
        <v>229</v>
      </c>
      <c r="G6" t="s">
        <v>229</v>
      </c>
      <c r="H6">
        <f>(C6*D6)/10000</f>
        <v>1.68</v>
      </c>
      <c r="I6">
        <f>H6*2</f>
        <v>3.36</v>
      </c>
      <c r="J6">
        <v>1</v>
      </c>
    </row>
    <row r="7" spans="1:10" x14ac:dyDescent="0.2">
      <c r="A7">
        <v>12</v>
      </c>
      <c r="B7" t="s">
        <v>208</v>
      </c>
      <c r="C7">
        <v>210</v>
      </c>
      <c r="D7">
        <v>80</v>
      </c>
      <c r="E7" t="s">
        <v>228</v>
      </c>
      <c r="F7" t="s">
        <v>229</v>
      </c>
      <c r="G7" t="s">
        <v>229</v>
      </c>
      <c r="H7">
        <f t="shared" ref="H7:H29" si="0">(C7*D7)/10000</f>
        <v>1.68</v>
      </c>
      <c r="I7">
        <f t="shared" ref="I7:I22" si="1">H7*2</f>
        <v>3.36</v>
      </c>
      <c r="J7">
        <v>2</v>
      </c>
    </row>
    <row r="8" spans="1:10" x14ac:dyDescent="0.2">
      <c r="A8">
        <v>11</v>
      </c>
      <c r="B8" t="s">
        <v>209</v>
      </c>
      <c r="C8">
        <v>210</v>
      </c>
      <c r="D8">
        <v>80</v>
      </c>
      <c r="E8" t="s">
        <v>228</v>
      </c>
      <c r="F8" t="s">
        <v>229</v>
      </c>
      <c r="G8" t="s">
        <v>229</v>
      </c>
      <c r="H8">
        <f t="shared" si="0"/>
        <v>1.68</v>
      </c>
      <c r="I8">
        <f t="shared" si="1"/>
        <v>3.36</v>
      </c>
      <c r="J8">
        <v>3</v>
      </c>
    </row>
    <row r="9" spans="1:10" x14ac:dyDescent="0.2">
      <c r="A9">
        <v>10</v>
      </c>
      <c r="B9" t="s">
        <v>210</v>
      </c>
      <c r="C9">
        <v>210</v>
      </c>
      <c r="D9">
        <v>80</v>
      </c>
      <c r="E9" t="s">
        <v>228</v>
      </c>
      <c r="F9" t="s">
        <v>229</v>
      </c>
      <c r="G9" t="s">
        <v>229</v>
      </c>
      <c r="H9">
        <f t="shared" si="0"/>
        <v>1.68</v>
      </c>
      <c r="I9">
        <f t="shared" si="1"/>
        <v>3.36</v>
      </c>
      <c r="J9">
        <v>4</v>
      </c>
    </row>
    <row r="10" spans="1:10" x14ac:dyDescent="0.2">
      <c r="A10">
        <v>9</v>
      </c>
      <c r="B10" t="s">
        <v>211</v>
      </c>
      <c r="C10">
        <v>210</v>
      </c>
      <c r="D10">
        <v>80</v>
      </c>
      <c r="E10" t="s">
        <v>228</v>
      </c>
      <c r="F10" t="s">
        <v>229</v>
      </c>
      <c r="G10" t="s">
        <v>229</v>
      </c>
      <c r="H10">
        <f t="shared" si="0"/>
        <v>1.68</v>
      </c>
      <c r="I10">
        <f t="shared" si="1"/>
        <v>3.36</v>
      </c>
      <c r="J10">
        <v>5</v>
      </c>
    </row>
    <row r="11" spans="1:10" x14ac:dyDescent="0.2">
      <c r="A11">
        <v>8</v>
      </c>
      <c r="B11" t="s">
        <v>212</v>
      </c>
      <c r="C11">
        <v>210</v>
      </c>
      <c r="D11">
        <v>80</v>
      </c>
      <c r="E11" t="s">
        <v>228</v>
      </c>
      <c r="F11" t="s">
        <v>229</v>
      </c>
      <c r="G11" t="s">
        <v>229</v>
      </c>
      <c r="H11">
        <f t="shared" si="0"/>
        <v>1.68</v>
      </c>
      <c r="I11">
        <f t="shared" si="1"/>
        <v>3.36</v>
      </c>
      <c r="J11">
        <v>6</v>
      </c>
    </row>
    <row r="12" spans="1:10" x14ac:dyDescent="0.2">
      <c r="A12">
        <v>7</v>
      </c>
      <c r="B12" t="s">
        <v>213</v>
      </c>
      <c r="C12">
        <v>210</v>
      </c>
      <c r="D12">
        <v>80</v>
      </c>
      <c r="E12" t="s">
        <v>228</v>
      </c>
      <c r="F12" t="s">
        <v>229</v>
      </c>
      <c r="G12" t="s">
        <v>229</v>
      </c>
      <c r="H12">
        <f t="shared" si="0"/>
        <v>1.68</v>
      </c>
      <c r="I12">
        <f t="shared" si="1"/>
        <v>3.36</v>
      </c>
      <c r="J12">
        <v>7</v>
      </c>
    </row>
    <row r="13" spans="1:10" x14ac:dyDescent="0.2">
      <c r="A13">
        <v>6</v>
      </c>
      <c r="B13" t="s">
        <v>218</v>
      </c>
      <c r="C13">
        <v>210</v>
      </c>
      <c r="D13">
        <v>80</v>
      </c>
      <c r="E13" t="s">
        <v>228</v>
      </c>
      <c r="F13" t="s">
        <v>229</v>
      </c>
      <c r="G13" t="s">
        <v>229</v>
      </c>
      <c r="H13">
        <f t="shared" si="0"/>
        <v>1.68</v>
      </c>
      <c r="I13">
        <f t="shared" si="1"/>
        <v>3.36</v>
      </c>
      <c r="J13">
        <v>8</v>
      </c>
    </row>
    <row r="14" spans="1:10" x14ac:dyDescent="0.2">
      <c r="A14">
        <v>5</v>
      </c>
      <c r="B14" t="s">
        <v>214</v>
      </c>
      <c r="C14">
        <v>210</v>
      </c>
      <c r="D14">
        <v>80</v>
      </c>
      <c r="E14" t="s">
        <v>228</v>
      </c>
      <c r="F14" t="s">
        <v>229</v>
      </c>
      <c r="G14" t="s">
        <v>229</v>
      </c>
      <c r="H14">
        <f t="shared" si="0"/>
        <v>1.68</v>
      </c>
      <c r="I14">
        <f t="shared" si="1"/>
        <v>3.36</v>
      </c>
      <c r="J14">
        <v>9</v>
      </c>
    </row>
    <row r="15" spans="1:10" x14ac:dyDescent="0.2">
      <c r="A15">
        <v>4</v>
      </c>
      <c r="B15" t="s">
        <v>215</v>
      </c>
      <c r="C15">
        <v>210</v>
      </c>
      <c r="D15">
        <v>80</v>
      </c>
      <c r="E15" t="s">
        <v>228</v>
      </c>
      <c r="F15" t="s">
        <v>229</v>
      </c>
      <c r="G15" t="s">
        <v>229</v>
      </c>
      <c r="H15">
        <f t="shared" si="0"/>
        <v>1.68</v>
      </c>
      <c r="I15">
        <f t="shared" si="1"/>
        <v>3.36</v>
      </c>
      <c r="J15">
        <v>10</v>
      </c>
    </row>
    <row r="16" spans="1:10" x14ac:dyDescent="0.2">
      <c r="A16">
        <v>3</v>
      </c>
      <c r="B16" t="s">
        <v>216</v>
      </c>
      <c r="C16">
        <v>210</v>
      </c>
      <c r="D16">
        <v>80</v>
      </c>
      <c r="E16" t="s">
        <v>228</v>
      </c>
      <c r="F16" t="s">
        <v>229</v>
      </c>
      <c r="G16" t="s">
        <v>229</v>
      </c>
      <c r="H16">
        <f t="shared" si="0"/>
        <v>1.68</v>
      </c>
      <c r="I16">
        <f t="shared" si="1"/>
        <v>3.36</v>
      </c>
      <c r="J16">
        <v>11</v>
      </c>
    </row>
    <row r="17" spans="1:10" x14ac:dyDescent="0.2">
      <c r="A17">
        <v>2</v>
      </c>
      <c r="B17" t="s">
        <v>217</v>
      </c>
      <c r="C17">
        <v>210</v>
      </c>
      <c r="D17">
        <v>80</v>
      </c>
      <c r="E17" t="s">
        <v>228</v>
      </c>
      <c r="F17" t="s">
        <v>229</v>
      </c>
      <c r="G17" t="s">
        <v>229</v>
      </c>
      <c r="H17">
        <f t="shared" si="0"/>
        <v>1.68</v>
      </c>
      <c r="I17">
        <f t="shared" si="1"/>
        <v>3.36</v>
      </c>
      <c r="J17">
        <v>12</v>
      </c>
    </row>
    <row r="18" spans="1:10" x14ac:dyDescent="0.2">
      <c r="A18">
        <v>1</v>
      </c>
      <c r="B18" t="s">
        <v>219</v>
      </c>
      <c r="C18">
        <v>210</v>
      </c>
      <c r="D18">
        <v>80</v>
      </c>
      <c r="E18" t="s">
        <v>228</v>
      </c>
      <c r="F18" t="s">
        <v>229</v>
      </c>
      <c r="G18" t="s">
        <v>229</v>
      </c>
      <c r="H18">
        <f t="shared" si="0"/>
        <v>1.68</v>
      </c>
      <c r="I18">
        <f t="shared" si="1"/>
        <v>3.36</v>
      </c>
      <c r="J18">
        <v>13</v>
      </c>
    </row>
    <row r="19" spans="1:10" x14ac:dyDescent="0.2">
      <c r="A19" t="s">
        <v>203</v>
      </c>
      <c r="B19" t="s">
        <v>220</v>
      </c>
      <c r="C19">
        <v>210</v>
      </c>
      <c r="D19">
        <v>70</v>
      </c>
      <c r="E19" t="s">
        <v>228</v>
      </c>
      <c r="F19" t="s">
        <v>229</v>
      </c>
      <c r="G19" t="s">
        <v>229</v>
      </c>
      <c r="H19">
        <f t="shared" si="0"/>
        <v>1.47</v>
      </c>
      <c r="I19">
        <f t="shared" si="1"/>
        <v>2.94</v>
      </c>
      <c r="J19">
        <v>14</v>
      </c>
    </row>
    <row r="20" spans="1:10" x14ac:dyDescent="0.2">
      <c r="A20" t="s">
        <v>204</v>
      </c>
      <c r="B20" t="s">
        <v>221</v>
      </c>
      <c r="C20">
        <v>210</v>
      </c>
      <c r="D20">
        <v>90</v>
      </c>
      <c r="E20" t="s">
        <v>228</v>
      </c>
      <c r="F20" t="s">
        <v>229</v>
      </c>
      <c r="G20" t="s">
        <v>229</v>
      </c>
      <c r="H20">
        <f t="shared" si="0"/>
        <v>1.89</v>
      </c>
      <c r="I20">
        <f t="shared" si="1"/>
        <v>3.78</v>
      </c>
      <c r="J20">
        <v>15</v>
      </c>
    </row>
    <row r="21" spans="1:10" x14ac:dyDescent="0.2">
      <c r="A21" t="s">
        <v>205</v>
      </c>
      <c r="B21" t="s">
        <v>222</v>
      </c>
      <c r="C21">
        <v>210</v>
      </c>
      <c r="D21">
        <v>60</v>
      </c>
      <c r="E21" t="s">
        <v>228</v>
      </c>
      <c r="F21" t="s">
        <v>229</v>
      </c>
      <c r="G21" t="s">
        <v>229</v>
      </c>
      <c r="H21">
        <f t="shared" si="0"/>
        <v>1.26</v>
      </c>
      <c r="I21">
        <f t="shared" si="1"/>
        <v>2.52</v>
      </c>
      <c r="J21">
        <v>16</v>
      </c>
    </row>
    <row r="22" spans="1:10" x14ac:dyDescent="0.2">
      <c r="A22" t="s">
        <v>206</v>
      </c>
      <c r="B22" t="s">
        <v>223</v>
      </c>
      <c r="C22">
        <v>210</v>
      </c>
      <c r="D22">
        <v>60</v>
      </c>
      <c r="E22" t="s">
        <v>228</v>
      </c>
      <c r="F22" t="s">
        <v>229</v>
      </c>
      <c r="G22" t="s">
        <v>229</v>
      </c>
      <c r="H22">
        <f t="shared" si="0"/>
        <v>1.26</v>
      </c>
      <c r="I22">
        <f t="shared" si="1"/>
        <v>2.52</v>
      </c>
      <c r="J22">
        <v>17</v>
      </c>
    </row>
    <row r="23" spans="1:10" x14ac:dyDescent="0.2">
      <c r="A23" t="s">
        <v>224</v>
      </c>
      <c r="B23" t="s">
        <v>225</v>
      </c>
      <c r="C23">
        <v>210</v>
      </c>
      <c r="D23">
        <v>90</v>
      </c>
      <c r="E23" t="s">
        <v>228</v>
      </c>
      <c r="F23" t="s">
        <v>241</v>
      </c>
      <c r="G23" t="s">
        <v>241</v>
      </c>
      <c r="H23">
        <f t="shared" si="0"/>
        <v>1.89</v>
      </c>
      <c r="I23">
        <f>H23</f>
        <v>1.89</v>
      </c>
    </row>
    <row r="24" spans="1:10" x14ac:dyDescent="0.2">
      <c r="A24" t="s">
        <v>227</v>
      </c>
      <c r="B24" t="s">
        <v>226</v>
      </c>
      <c r="C24">
        <v>240</v>
      </c>
      <c r="D24">
        <v>530</v>
      </c>
      <c r="E24" t="s">
        <v>228</v>
      </c>
      <c r="F24" t="s">
        <v>241</v>
      </c>
      <c r="G24" t="s">
        <v>241</v>
      </c>
      <c r="H24">
        <f t="shared" si="0"/>
        <v>12.72</v>
      </c>
      <c r="I24">
        <f>H24</f>
        <v>12.72</v>
      </c>
    </row>
    <row r="25" spans="1:10" x14ac:dyDescent="0.2">
      <c r="A25" t="s">
        <v>242</v>
      </c>
      <c r="B25" t="s">
        <v>243</v>
      </c>
      <c r="C25">
        <v>140</v>
      </c>
      <c r="D25">
        <v>220</v>
      </c>
      <c r="E25" t="s">
        <v>228</v>
      </c>
      <c r="F25" t="s">
        <v>241</v>
      </c>
      <c r="G25" t="s">
        <v>241</v>
      </c>
      <c r="H25">
        <f t="shared" ref="H25" si="2">(C25*D25)/10000</f>
        <v>3.08</v>
      </c>
      <c r="I25">
        <f>H25</f>
        <v>3.08</v>
      </c>
    </row>
    <row r="26" spans="1:10" x14ac:dyDescent="0.2">
      <c r="A26" t="s">
        <v>86</v>
      </c>
      <c r="B26" t="s">
        <v>243</v>
      </c>
      <c r="C26">
        <v>140</v>
      </c>
      <c r="D26">
        <v>220</v>
      </c>
      <c r="E26" t="s">
        <v>228</v>
      </c>
      <c r="F26" t="s">
        <v>241</v>
      </c>
      <c r="G26" t="s">
        <v>241</v>
      </c>
      <c r="H26">
        <f t="shared" ref="H26" si="3">(C26*D26)/10000</f>
        <v>3.08</v>
      </c>
      <c r="I26">
        <f>H26</f>
        <v>3.08</v>
      </c>
    </row>
    <row r="27" spans="1:10" x14ac:dyDescent="0.2">
      <c r="A27" t="s">
        <v>234</v>
      </c>
      <c r="B27" t="s">
        <v>237</v>
      </c>
      <c r="C27">
        <v>40</v>
      </c>
      <c r="D27">
        <v>60</v>
      </c>
      <c r="G27" t="s">
        <v>240</v>
      </c>
      <c r="H27">
        <f t="shared" si="0"/>
        <v>0.24</v>
      </c>
    </row>
    <row r="28" spans="1:10" x14ac:dyDescent="0.2">
      <c r="A28" t="s">
        <v>235</v>
      </c>
      <c r="B28" t="s">
        <v>238</v>
      </c>
      <c r="C28">
        <v>40</v>
      </c>
      <c r="D28">
        <v>60</v>
      </c>
      <c r="G28" t="s">
        <v>240</v>
      </c>
      <c r="H28">
        <f t="shared" si="0"/>
        <v>0.24</v>
      </c>
    </row>
    <row r="29" spans="1:10" x14ac:dyDescent="0.2">
      <c r="A29" t="s">
        <v>236</v>
      </c>
      <c r="B29" t="s">
        <v>239</v>
      </c>
      <c r="C29">
        <v>40</v>
      </c>
      <c r="D29">
        <v>60</v>
      </c>
      <c r="G29" t="s">
        <v>240</v>
      </c>
      <c r="H29">
        <f t="shared" si="0"/>
        <v>0.24</v>
      </c>
    </row>
    <row r="31" spans="1:10" x14ac:dyDescent="0.2">
      <c r="H31">
        <f>SUM(H6:H22)</f>
        <v>27.720000000000002</v>
      </c>
      <c r="I31">
        <f>SUM(I6:I22)</f>
        <v>55.440000000000005</v>
      </c>
    </row>
    <row r="32" spans="1:10" x14ac:dyDescent="0.2">
      <c r="H32">
        <f>SUM(I23:I26)</f>
        <v>20.770000000000003</v>
      </c>
    </row>
    <row r="34" spans="1:8" x14ac:dyDescent="0.2">
      <c r="A34" t="s">
        <v>233</v>
      </c>
    </row>
    <row r="35" spans="1:8" x14ac:dyDescent="0.2">
      <c r="A35" t="s">
        <v>244</v>
      </c>
      <c r="H35">
        <f>H31-H19+H23</f>
        <v>28.140000000000004</v>
      </c>
    </row>
    <row r="37" spans="1:8" x14ac:dyDescent="0.2">
      <c r="A37" t="s">
        <v>250</v>
      </c>
    </row>
    <row r="39" spans="1:8" x14ac:dyDescent="0.2">
      <c r="B39" s="70" t="s">
        <v>267</v>
      </c>
      <c r="C39">
        <v>2</v>
      </c>
      <c r="D39" s="70">
        <v>1.1000000000000001</v>
      </c>
      <c r="E39" s="70">
        <v>37</v>
      </c>
      <c r="G39" s="70" t="s">
        <v>268</v>
      </c>
      <c r="H39">
        <f>C39*D39*E39</f>
        <v>81.400000000000006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workbookViewId="0">
      <selection activeCell="I32" sqref="I32"/>
    </sheetView>
  </sheetViews>
  <sheetFormatPr defaultRowHeight="12.75" x14ac:dyDescent="0.2"/>
  <cols>
    <col min="1" max="1" width="22.5" bestFit="1" customWidth="1"/>
  </cols>
  <sheetData>
    <row r="2" spans="1:3" x14ac:dyDescent="0.2">
      <c r="A2" s="70"/>
    </row>
    <row r="4" spans="1:3" x14ac:dyDescent="0.2">
      <c r="A4" s="70" t="s">
        <v>257</v>
      </c>
      <c r="B4" s="70" t="s">
        <v>230</v>
      </c>
      <c r="C4" s="70" t="s">
        <v>258</v>
      </c>
    </row>
    <row r="6" spans="1:3" x14ac:dyDescent="0.2">
      <c r="A6" s="70" t="s">
        <v>207</v>
      </c>
      <c r="B6">
        <v>11.55</v>
      </c>
      <c r="C6">
        <v>13.7</v>
      </c>
    </row>
    <row r="7" spans="1:3" x14ac:dyDescent="0.2">
      <c r="A7" s="70" t="s">
        <v>207</v>
      </c>
      <c r="B7">
        <v>14.45</v>
      </c>
      <c r="C7">
        <v>16.100000000000001</v>
      </c>
    </row>
    <row r="8" spans="1:3" x14ac:dyDescent="0.2">
      <c r="A8" s="70" t="s">
        <v>259</v>
      </c>
      <c r="B8">
        <v>47.85</v>
      </c>
      <c r="C8">
        <v>27.85</v>
      </c>
    </row>
    <row r="9" spans="1:3" x14ac:dyDescent="0.2">
      <c r="A9" s="70" t="s">
        <v>260</v>
      </c>
      <c r="B9">
        <v>47.1</v>
      </c>
      <c r="C9">
        <v>27.7</v>
      </c>
    </row>
    <row r="10" spans="1:3" x14ac:dyDescent="0.2">
      <c r="A10" s="70" t="s">
        <v>212</v>
      </c>
      <c r="B10">
        <v>47.1</v>
      </c>
      <c r="C10">
        <v>27.7</v>
      </c>
    </row>
    <row r="11" spans="1:3" x14ac:dyDescent="0.2">
      <c r="A11" s="70" t="s">
        <v>213</v>
      </c>
      <c r="B11">
        <v>46.35</v>
      </c>
      <c r="C11">
        <v>27.45</v>
      </c>
    </row>
    <row r="12" spans="1:3" x14ac:dyDescent="0.2">
      <c r="A12" s="70" t="s">
        <v>214</v>
      </c>
      <c r="B12" s="70" t="s">
        <v>261</v>
      </c>
      <c r="C12">
        <v>27.45</v>
      </c>
    </row>
    <row r="13" spans="1:3" x14ac:dyDescent="0.2">
      <c r="A13" s="70" t="s">
        <v>215</v>
      </c>
      <c r="B13">
        <v>45.53</v>
      </c>
      <c r="C13">
        <v>27.3</v>
      </c>
    </row>
    <row r="14" spans="1:3" x14ac:dyDescent="0.2">
      <c r="A14" s="70" t="s">
        <v>262</v>
      </c>
      <c r="B14">
        <v>45.53</v>
      </c>
      <c r="C14">
        <v>27.3</v>
      </c>
    </row>
    <row r="15" spans="1:3" x14ac:dyDescent="0.2">
      <c r="A15" s="70" t="s">
        <v>217</v>
      </c>
      <c r="B15">
        <v>45.96</v>
      </c>
      <c r="C15">
        <v>27.45</v>
      </c>
    </row>
    <row r="16" spans="1:3" x14ac:dyDescent="0.2">
      <c r="A16" s="70" t="s">
        <v>219</v>
      </c>
      <c r="B16">
        <v>21.17</v>
      </c>
      <c r="C16">
        <v>18.899999999999999</v>
      </c>
    </row>
    <row r="17" spans="1:4" x14ac:dyDescent="0.2">
      <c r="A17" s="70" t="s">
        <v>218</v>
      </c>
      <c r="B17">
        <v>3.76</v>
      </c>
      <c r="C17">
        <v>7.9</v>
      </c>
    </row>
    <row r="19" spans="1:4" x14ac:dyDescent="0.2">
      <c r="A19" s="70" t="s">
        <v>263</v>
      </c>
      <c r="B19">
        <v>23.07</v>
      </c>
      <c r="C19">
        <v>19.2</v>
      </c>
    </row>
    <row r="20" spans="1:4" x14ac:dyDescent="0.2">
      <c r="A20" s="70" t="s">
        <v>264</v>
      </c>
      <c r="B20">
        <v>2.4300000000000002</v>
      </c>
      <c r="C20">
        <v>6.3</v>
      </c>
    </row>
    <row r="21" spans="1:4" x14ac:dyDescent="0.2">
      <c r="A21" s="70" t="s">
        <v>265</v>
      </c>
      <c r="B21">
        <v>2.4300000000000002</v>
      </c>
      <c r="C21">
        <v>6.3</v>
      </c>
    </row>
    <row r="22" spans="1:4" x14ac:dyDescent="0.2">
      <c r="A22" s="70" t="s">
        <v>266</v>
      </c>
      <c r="B22">
        <v>5.13</v>
      </c>
      <c r="C22">
        <v>9.3000000000000007</v>
      </c>
    </row>
    <row r="24" spans="1:4" x14ac:dyDescent="0.2">
      <c r="C24">
        <f>SUM(C6:C22)</f>
        <v>317.89999999999998</v>
      </c>
      <c r="D24">
        <v>3</v>
      </c>
    </row>
    <row r="25" spans="1:4" x14ac:dyDescent="0.2">
      <c r="A25" s="70"/>
    </row>
    <row r="26" spans="1:4" x14ac:dyDescent="0.2">
      <c r="A26" s="70" t="s">
        <v>269</v>
      </c>
      <c r="B26">
        <f>B27-B28</f>
        <v>843.8599999999999</v>
      </c>
    </row>
    <row r="27" spans="1:4" x14ac:dyDescent="0.2">
      <c r="A27" s="70" t="s">
        <v>270</v>
      </c>
      <c r="B27">
        <f>C24*D24</f>
        <v>953.69999999999993</v>
      </c>
    </row>
    <row r="28" spans="1:4" x14ac:dyDescent="0.2">
      <c r="A28" s="70" t="s">
        <v>271</v>
      </c>
      <c r="B28">
        <f>'Tabela de Esquadria'!H39+'Tabela de Esquadria'!H31+'Tabela de Esquadria'!H27+'Tabela de Esquadria'!H28+'Tabela de Esquadria'!H29</f>
        <v>109.83999999999999</v>
      </c>
    </row>
    <row r="30" spans="1:4" x14ac:dyDescent="0.2">
      <c r="A30" s="70" t="s">
        <v>272</v>
      </c>
      <c r="B30">
        <v>668.06</v>
      </c>
    </row>
    <row r="31" spans="1:4" x14ac:dyDescent="0.2">
      <c r="B31">
        <f>B30+B26</f>
        <v>1511.9199999999998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zoomScale="160" zoomScaleNormal="160" workbookViewId="0">
      <selection activeCell="C19" sqref="C19"/>
    </sheetView>
  </sheetViews>
  <sheetFormatPr defaultRowHeight="12.75" x14ac:dyDescent="0.2"/>
  <cols>
    <col min="1" max="1" width="6.83203125" customWidth="1"/>
    <col min="2" max="2" width="11.33203125" customWidth="1"/>
    <col min="3" max="3" width="61.33203125" customWidth="1"/>
    <col min="4" max="4" width="7.33203125" customWidth="1"/>
    <col min="5" max="5" width="7.83203125" customWidth="1"/>
    <col min="6" max="6" width="10.83203125" bestFit="1" customWidth="1"/>
    <col min="7" max="7" width="8.6640625" customWidth="1"/>
    <col min="8" max="8" width="14.1640625" bestFit="1" customWidth="1"/>
    <col min="10" max="10" width="14.5" bestFit="1" customWidth="1"/>
    <col min="12" max="12" width="14.33203125" bestFit="1" customWidth="1"/>
  </cols>
  <sheetData>
    <row r="1" spans="1:9" ht="3.75" customHeight="1" thickBot="1" x14ac:dyDescent="0.25">
      <c r="A1" s="228"/>
      <c r="B1" s="229"/>
      <c r="C1" s="229"/>
      <c r="D1" s="229"/>
      <c r="E1" s="229"/>
      <c r="F1" s="229"/>
      <c r="G1" s="229"/>
      <c r="H1" s="230"/>
      <c r="I1" s="20"/>
    </row>
    <row r="2" spans="1:9" ht="24.95" customHeight="1" x14ac:dyDescent="0.2">
      <c r="A2" s="231"/>
      <c r="B2" s="232"/>
      <c r="C2" s="271" t="s">
        <v>73</v>
      </c>
      <c r="D2" s="236" t="s">
        <v>147</v>
      </c>
      <c r="E2" s="237"/>
      <c r="F2" s="238"/>
      <c r="G2" s="239"/>
      <c r="H2" s="240"/>
      <c r="I2" s="20"/>
    </row>
    <row r="3" spans="1:9" ht="13.7" customHeight="1" x14ac:dyDescent="0.2">
      <c r="A3" s="231"/>
      <c r="B3" s="232"/>
      <c r="C3" s="272"/>
      <c r="D3" s="277" t="s">
        <v>1</v>
      </c>
      <c r="E3" s="278"/>
      <c r="F3" s="279"/>
      <c r="G3" s="239"/>
      <c r="H3" s="240"/>
      <c r="I3" s="20"/>
    </row>
    <row r="4" spans="1:9" ht="17.25" customHeight="1" thickBot="1" x14ac:dyDescent="0.25">
      <c r="A4" s="231"/>
      <c r="B4" s="232"/>
      <c r="C4" s="273"/>
      <c r="D4" s="15" t="s">
        <v>2</v>
      </c>
      <c r="E4" s="280">
        <f>BDI!E4</f>
        <v>0.23535496426352442</v>
      </c>
      <c r="F4" s="281"/>
      <c r="G4" s="239"/>
      <c r="H4" s="240"/>
      <c r="I4" s="20"/>
    </row>
    <row r="5" spans="1:9" ht="9.75" customHeight="1" thickBot="1" x14ac:dyDescent="0.25">
      <c r="A5" s="274" t="s">
        <v>68</v>
      </c>
      <c r="B5" s="275"/>
      <c r="C5" s="275"/>
      <c r="D5" s="275"/>
      <c r="E5" s="275"/>
      <c r="F5" s="275"/>
      <c r="G5" s="275"/>
      <c r="H5" s="276"/>
      <c r="I5" s="20"/>
    </row>
    <row r="6" spans="1:9" ht="20.25" customHeight="1" x14ac:dyDescent="0.2">
      <c r="A6" s="40" t="s">
        <v>3</v>
      </c>
      <c r="B6" s="249" t="s">
        <v>146</v>
      </c>
      <c r="C6" s="249"/>
      <c r="D6" s="249"/>
      <c r="E6" s="249"/>
      <c r="F6" s="249"/>
      <c r="G6" s="249"/>
      <c r="H6" s="105" t="s">
        <v>75</v>
      </c>
      <c r="I6" s="20"/>
    </row>
    <row r="7" spans="1:9" ht="13.5" customHeight="1" thickBot="1" x14ac:dyDescent="0.25">
      <c r="A7" s="40" t="s">
        <v>64</v>
      </c>
      <c r="B7" s="250" t="s">
        <v>148</v>
      </c>
      <c r="C7" s="250"/>
      <c r="D7" s="250"/>
      <c r="E7" s="250"/>
      <c r="F7" s="250"/>
      <c r="G7" s="250"/>
      <c r="H7" s="30">
        <f ca="1">TODAY()</f>
        <v>44734</v>
      </c>
      <c r="I7" s="20"/>
    </row>
    <row r="8" spans="1:9" ht="13.5" thickBot="1" x14ac:dyDescent="0.25">
      <c r="A8" s="251" t="s">
        <v>72</v>
      </c>
      <c r="B8" s="252"/>
      <c r="C8" s="252"/>
      <c r="D8" s="252"/>
      <c r="E8" s="252"/>
      <c r="F8" s="252"/>
      <c r="G8" s="252"/>
      <c r="H8" s="253"/>
      <c r="I8" s="20"/>
    </row>
    <row r="9" spans="1:9" ht="22.5" customHeight="1" thickBot="1" x14ac:dyDescent="0.25">
      <c r="A9" s="89" t="s">
        <v>4</v>
      </c>
      <c r="B9" s="90" t="s">
        <v>5</v>
      </c>
      <c r="C9" s="90" t="s">
        <v>6</v>
      </c>
      <c r="D9" s="90" t="s">
        <v>7</v>
      </c>
      <c r="E9" s="90" t="s">
        <v>8</v>
      </c>
      <c r="F9" s="90" t="s">
        <v>9</v>
      </c>
      <c r="G9" s="90" t="s">
        <v>10</v>
      </c>
      <c r="H9" s="91" t="s">
        <v>11</v>
      </c>
      <c r="I9" s="20"/>
    </row>
    <row r="10" spans="1:9" ht="9" customHeight="1" thickBot="1" x14ac:dyDescent="0.25">
      <c r="A10" s="66" t="s">
        <v>278</v>
      </c>
      <c r="B10" s="203"/>
      <c r="C10" s="203" t="s">
        <v>74</v>
      </c>
      <c r="D10" s="37"/>
      <c r="E10" s="37"/>
      <c r="F10" s="37"/>
      <c r="G10" s="37"/>
      <c r="H10" s="38">
        <f>SUM(H11)</f>
        <v>18696.652656341306</v>
      </c>
      <c r="I10" s="20"/>
    </row>
    <row r="11" spans="1:9" ht="11.25" customHeight="1" thickBot="1" x14ac:dyDescent="0.25">
      <c r="A11" s="67" t="s">
        <v>279</v>
      </c>
      <c r="B11" s="216" t="s">
        <v>91</v>
      </c>
      <c r="C11" s="10" t="s">
        <v>12</v>
      </c>
      <c r="D11" s="11" t="s">
        <v>60</v>
      </c>
      <c r="E11" s="22">
        <v>3</v>
      </c>
      <c r="F11" s="23">
        <f>'COMPOSIÇÃO I '!F13</f>
        <v>5044.88</v>
      </c>
      <c r="G11" s="23">
        <f>F11+(F11*E4)</f>
        <v>6232.2175521137688</v>
      </c>
      <c r="H11" s="21">
        <f>E11*G11</f>
        <v>18696.652656341306</v>
      </c>
      <c r="I11" s="20"/>
    </row>
    <row r="12" spans="1:9" ht="13.5" customHeight="1" thickBot="1" x14ac:dyDescent="0.25">
      <c r="A12" s="66" t="s">
        <v>280</v>
      </c>
      <c r="B12" s="203"/>
      <c r="C12" s="203" t="s">
        <v>185</v>
      </c>
      <c r="D12" s="37"/>
      <c r="E12" s="37"/>
      <c r="F12" s="37"/>
      <c r="G12" s="37"/>
      <c r="H12" s="38">
        <f>SUM(H13:H22)</f>
        <v>32415.300776614793</v>
      </c>
      <c r="I12" s="20"/>
    </row>
    <row r="13" spans="1:9" ht="16.5" x14ac:dyDescent="0.2">
      <c r="A13" s="69" t="s">
        <v>284</v>
      </c>
      <c r="B13" s="216" t="s">
        <v>124</v>
      </c>
      <c r="C13" s="107" t="s">
        <v>90</v>
      </c>
      <c r="D13" s="14" t="s">
        <v>61</v>
      </c>
      <c r="E13" s="213">
        <f>E30*1</f>
        <v>400</v>
      </c>
      <c r="F13" s="23">
        <f>'COMPOSIÇÃO II'!F17</f>
        <v>1.9638140000000004</v>
      </c>
      <c r="G13" s="23">
        <f>F13+(F13*E4)</f>
        <v>2.4260073737902093</v>
      </c>
      <c r="H13" s="21">
        <f>E13*G13</f>
        <v>970.40294951608371</v>
      </c>
      <c r="I13" s="20"/>
    </row>
    <row r="14" spans="1:9" x14ac:dyDescent="0.2">
      <c r="A14" s="69" t="s">
        <v>283</v>
      </c>
      <c r="B14" s="216" t="s">
        <v>92</v>
      </c>
      <c r="C14" s="107" t="s">
        <v>125</v>
      </c>
      <c r="D14" s="14" t="s">
        <v>61</v>
      </c>
      <c r="E14" s="19">
        <f>2.5*5</f>
        <v>12.5</v>
      </c>
      <c r="F14" s="23">
        <f>'COMPOSIÇÃO III'!F18</f>
        <v>327.24060000000009</v>
      </c>
      <c r="G14" s="23">
        <f>F14+(F14*E4)</f>
        <v>404.25829971857439</v>
      </c>
      <c r="H14" s="21">
        <f>E14*G14</f>
        <v>5053.2287464821802</v>
      </c>
      <c r="I14" s="20"/>
    </row>
    <row r="15" spans="1:9" ht="16.5" x14ac:dyDescent="0.2">
      <c r="A15" s="69" t="s">
        <v>285</v>
      </c>
      <c r="B15" s="216">
        <v>97647</v>
      </c>
      <c r="C15" s="107" t="s">
        <v>152</v>
      </c>
      <c r="D15" s="14" t="s">
        <v>61</v>
      </c>
      <c r="E15" s="213">
        <f>E47</f>
        <v>934.83</v>
      </c>
      <c r="F15" s="23">
        <v>2.81</v>
      </c>
      <c r="G15" s="23">
        <f>F15+(F15*E4)</f>
        <v>3.4713474495805037</v>
      </c>
      <c r="H15" s="21">
        <f>E15*G15</f>
        <v>3245.1197362913422</v>
      </c>
      <c r="I15" s="20"/>
    </row>
    <row r="16" spans="1:9" ht="16.5" x14ac:dyDescent="0.2">
      <c r="A16" s="69" t="s">
        <v>286</v>
      </c>
      <c r="B16" s="216">
        <v>97652</v>
      </c>
      <c r="C16" s="107" t="s">
        <v>153</v>
      </c>
      <c r="D16" s="14" t="s">
        <v>60</v>
      </c>
      <c r="E16" s="213">
        <f>E49+E50+E51+E52+E53+E54</f>
        <v>31</v>
      </c>
      <c r="F16" s="23">
        <v>151.57</v>
      </c>
      <c r="G16" s="23">
        <f>F16+(F16*E4)</f>
        <v>187.2427519334224</v>
      </c>
      <c r="H16" s="21">
        <f>E16*G16</f>
        <v>5804.5253099360943</v>
      </c>
      <c r="I16" s="20"/>
    </row>
    <row r="17" spans="1:17" ht="16.5" x14ac:dyDescent="0.2">
      <c r="A17" s="69" t="s">
        <v>287</v>
      </c>
      <c r="B17" s="216">
        <v>97650</v>
      </c>
      <c r="C17" s="107" t="s">
        <v>167</v>
      </c>
      <c r="D17" s="14" t="s">
        <v>61</v>
      </c>
      <c r="E17" s="213">
        <f>E15</f>
        <v>934.83</v>
      </c>
      <c r="F17" s="23">
        <v>6.03</v>
      </c>
      <c r="G17" s="23">
        <f>F17+(F17*E4)</f>
        <v>7.4491904345090525</v>
      </c>
      <c r="H17" s="21">
        <f>E17*G17</f>
        <v>6963.7266938920975</v>
      </c>
      <c r="I17" s="20"/>
    </row>
    <row r="18" spans="1:17" ht="16.5" x14ac:dyDescent="0.2">
      <c r="A18" s="69" t="s">
        <v>288</v>
      </c>
      <c r="B18" s="216">
        <v>97634</v>
      </c>
      <c r="C18" s="107" t="s">
        <v>155</v>
      </c>
      <c r="D18" s="14" t="s">
        <v>61</v>
      </c>
      <c r="E18" s="213">
        <f>E43</f>
        <v>801.76</v>
      </c>
      <c r="F18" s="23">
        <v>9.68</v>
      </c>
      <c r="G18" s="23">
        <f>F18+(F18*E4)</f>
        <v>11.958236054070916</v>
      </c>
      <c r="H18" s="21">
        <f t="shared" ref="H18:H20" si="0">E18*G18</f>
        <v>9587.6353387118979</v>
      </c>
      <c r="I18" s="20"/>
    </row>
    <row r="19" spans="1:17" x14ac:dyDescent="0.2">
      <c r="A19" s="69" t="s">
        <v>289</v>
      </c>
      <c r="B19" s="216">
        <v>97644</v>
      </c>
      <c r="C19" s="107" t="s">
        <v>157</v>
      </c>
      <c r="D19" s="14" t="s">
        <v>61</v>
      </c>
      <c r="E19" s="213">
        <f>'Tabela de Esquadria'!H31</f>
        <v>27.720000000000002</v>
      </c>
      <c r="F19" s="23">
        <v>7.54</v>
      </c>
      <c r="G19" s="23">
        <f>F19+(F19*E4)</f>
        <v>9.3145764305469747</v>
      </c>
      <c r="H19" s="21">
        <f t="shared" si="0"/>
        <v>258.20005865476219</v>
      </c>
      <c r="I19" s="20"/>
    </row>
    <row r="20" spans="1:17" ht="16.5" x14ac:dyDescent="0.2">
      <c r="A20" s="69" t="s">
        <v>290</v>
      </c>
      <c r="B20" s="216">
        <v>97640</v>
      </c>
      <c r="C20" s="107" t="s">
        <v>154</v>
      </c>
      <c r="D20" s="14" t="s">
        <v>61</v>
      </c>
      <c r="E20" s="213">
        <f>E57</f>
        <v>280.44900000000001</v>
      </c>
      <c r="F20" s="23">
        <v>1.31</v>
      </c>
      <c r="G20" s="23">
        <f>F20+(F20*E4)</f>
        <v>1.6183150031852169</v>
      </c>
      <c r="H20" s="21">
        <f t="shared" si="0"/>
        <v>453.85482432829093</v>
      </c>
      <c r="I20" s="20"/>
    </row>
    <row r="21" spans="1:17" ht="15.75" customHeight="1" x14ac:dyDescent="0.2">
      <c r="A21" s="69" t="s">
        <v>291</v>
      </c>
      <c r="B21" s="216">
        <v>97663</v>
      </c>
      <c r="C21" s="107" t="s">
        <v>174</v>
      </c>
      <c r="D21" s="14" t="s">
        <v>60</v>
      </c>
      <c r="E21" s="213">
        <v>3</v>
      </c>
      <c r="F21" s="23">
        <v>10.06</v>
      </c>
      <c r="G21" s="23">
        <f>F21+(F21*E4)</f>
        <v>12.427670940491057</v>
      </c>
      <c r="H21" s="21">
        <f t="shared" ref="H21:H22" si="1">E21*G21</f>
        <v>37.283012821473172</v>
      </c>
      <c r="I21" s="20"/>
    </row>
    <row r="22" spans="1:17" ht="17.25" thickBot="1" x14ac:dyDescent="0.25">
      <c r="A22" s="69" t="s">
        <v>292</v>
      </c>
      <c r="B22" s="216">
        <v>97622</v>
      </c>
      <c r="C22" s="107" t="s">
        <v>182</v>
      </c>
      <c r="D22" s="14" t="s">
        <v>61</v>
      </c>
      <c r="E22" s="19">
        <f>E28</f>
        <v>0.72</v>
      </c>
      <c r="F22" s="23">
        <v>46.46</v>
      </c>
      <c r="G22" s="23">
        <f>F22+(F22*E4)</f>
        <v>57.394591639683348</v>
      </c>
      <c r="H22" s="21">
        <f t="shared" si="1"/>
        <v>41.324105980572007</v>
      </c>
      <c r="I22" s="20"/>
    </row>
    <row r="23" spans="1:17" ht="13.5" thickBot="1" x14ac:dyDescent="0.25">
      <c r="A23" s="66" t="s">
        <v>293</v>
      </c>
      <c r="B23" s="203"/>
      <c r="C23" s="203" t="s">
        <v>161</v>
      </c>
      <c r="D23" s="37"/>
      <c r="E23" s="37"/>
      <c r="F23" s="37"/>
      <c r="G23" s="37"/>
      <c r="H23" s="38">
        <f>SUM(H24:H28)</f>
        <v>18704.972870854021</v>
      </c>
      <c r="I23" s="20"/>
    </row>
    <row r="24" spans="1:17" ht="46.5" customHeight="1" x14ac:dyDescent="0.2">
      <c r="A24" s="69" t="s">
        <v>294</v>
      </c>
      <c r="B24" s="216">
        <v>90844</v>
      </c>
      <c r="C24" s="107" t="s">
        <v>254</v>
      </c>
      <c r="D24" s="14" t="s">
        <v>60</v>
      </c>
      <c r="E24" s="19">
        <v>1</v>
      </c>
      <c r="F24" s="23">
        <v>942.6</v>
      </c>
      <c r="G24" s="23">
        <f>F24+(F24*E4)</f>
        <v>1164.4455893147981</v>
      </c>
      <c r="H24" s="21">
        <f>E24*G24</f>
        <v>1164.4455893147981</v>
      </c>
      <c r="I24" s="20"/>
    </row>
    <row r="25" spans="1:17" ht="45" customHeight="1" x14ac:dyDescent="0.2">
      <c r="A25" s="69" t="s">
        <v>295</v>
      </c>
      <c r="B25" s="216">
        <v>90843</v>
      </c>
      <c r="C25" s="107" t="s">
        <v>253</v>
      </c>
      <c r="D25" s="14" t="s">
        <v>60</v>
      </c>
      <c r="E25" s="19">
        <v>13</v>
      </c>
      <c r="F25" s="23">
        <v>868.35</v>
      </c>
      <c r="G25" s="23">
        <f>F25+(F25*E4)</f>
        <v>1072.7204832182315</v>
      </c>
      <c r="H25" s="21">
        <f>E25*G25</f>
        <v>13945.36628183701</v>
      </c>
      <c r="I25" s="20"/>
    </row>
    <row r="26" spans="1:17" ht="45.75" customHeight="1" x14ac:dyDescent="0.2">
      <c r="A26" s="69" t="s">
        <v>282</v>
      </c>
      <c r="B26" s="216">
        <v>90842</v>
      </c>
      <c r="C26" s="107" t="s">
        <v>252</v>
      </c>
      <c r="D26" s="14" t="s">
        <v>60</v>
      </c>
      <c r="E26" s="19">
        <v>1</v>
      </c>
      <c r="F26" s="23">
        <v>825.45</v>
      </c>
      <c r="G26" s="23">
        <f>F26+(F26*E4)</f>
        <v>1019.7237552513263</v>
      </c>
      <c r="H26" s="21">
        <f t="shared" ref="H26:H27" si="2">E26*G26</f>
        <v>1019.7237552513263</v>
      </c>
      <c r="I26" s="20"/>
    </row>
    <row r="27" spans="1:17" ht="44.25" customHeight="1" x14ac:dyDescent="0.2">
      <c r="A27" s="69" t="s">
        <v>296</v>
      </c>
      <c r="B27" s="216">
        <v>90841</v>
      </c>
      <c r="C27" s="107" t="s">
        <v>251</v>
      </c>
      <c r="D27" s="14" t="s">
        <v>60</v>
      </c>
      <c r="E27" s="19">
        <v>2</v>
      </c>
      <c r="F27" s="23">
        <v>818.26</v>
      </c>
      <c r="G27" s="23">
        <f>F27+(F27*E4)</f>
        <v>1010.8415530582715</v>
      </c>
      <c r="H27" s="21">
        <f t="shared" si="2"/>
        <v>2021.6831061165431</v>
      </c>
      <c r="I27" s="20"/>
    </row>
    <row r="28" spans="1:17" ht="13.5" thickBot="1" x14ac:dyDescent="0.25">
      <c r="A28" s="69" t="s">
        <v>297</v>
      </c>
      <c r="B28" s="216" t="s">
        <v>122</v>
      </c>
      <c r="C28" s="107" t="s">
        <v>173</v>
      </c>
      <c r="D28" s="14" t="s">
        <v>61</v>
      </c>
      <c r="E28" s="213">
        <f>3*(0.4*0.6)</f>
        <v>0.72</v>
      </c>
      <c r="F28" s="23">
        <f>'COMPOSIÇÃO IV'!F15</f>
        <v>622.57650000000001</v>
      </c>
      <c r="G28" s="23">
        <f>F28+(F28*E4)</f>
        <v>769.10296990881011</v>
      </c>
      <c r="H28" s="21">
        <f>E28*G28</f>
        <v>553.75413833434322</v>
      </c>
      <c r="I28" s="20"/>
    </row>
    <row r="29" spans="1:17" ht="13.5" customHeight="1" thickBot="1" x14ac:dyDescent="0.25">
      <c r="A29" s="66" t="s">
        <v>298</v>
      </c>
      <c r="B29" s="203"/>
      <c r="C29" s="203" t="s">
        <v>183</v>
      </c>
      <c r="D29" s="37"/>
      <c r="E29" s="37"/>
      <c r="F29" s="37"/>
      <c r="G29" s="37"/>
      <c r="H29" s="38">
        <f>SUM(H30:H31)</f>
        <v>81729.843793391265</v>
      </c>
      <c r="I29" s="20"/>
    </row>
    <row r="30" spans="1:17" ht="26.25" customHeight="1" x14ac:dyDescent="0.2">
      <c r="A30" s="68" t="s">
        <v>299</v>
      </c>
      <c r="B30" s="8">
        <v>98522</v>
      </c>
      <c r="C30" s="107" t="s">
        <v>149</v>
      </c>
      <c r="D30" s="14" t="s">
        <v>62</v>
      </c>
      <c r="E30" s="213">
        <v>400</v>
      </c>
      <c r="F30" s="24">
        <v>154.88999999999999</v>
      </c>
      <c r="G30" s="24">
        <f>F30+(F30*E4)</f>
        <v>191.34413041477728</v>
      </c>
      <c r="H30" s="21">
        <f>E30*G30</f>
        <v>76537.652165910913</v>
      </c>
      <c r="I30" s="20"/>
    </row>
    <row r="31" spans="1:17" ht="17.25" thickBot="1" x14ac:dyDescent="0.25">
      <c r="A31" s="68" t="s">
        <v>300</v>
      </c>
      <c r="B31" s="8" t="s">
        <v>327</v>
      </c>
      <c r="C31" s="107" t="s">
        <v>176</v>
      </c>
      <c r="D31" s="14" t="s">
        <v>61</v>
      </c>
      <c r="E31" s="213">
        <f>(3.5*2)</f>
        <v>7</v>
      </c>
      <c r="F31" s="24">
        <f>'COMPOSIÇÃO V'!F19</f>
        <v>600.42795999999998</v>
      </c>
      <c r="G31" s="24">
        <f>F31+(F31*E4)</f>
        <v>741.74166106862083</v>
      </c>
      <c r="H31" s="21">
        <f>E31*G31</f>
        <v>5192.1916274803461</v>
      </c>
      <c r="I31" s="20"/>
    </row>
    <row r="32" spans="1:17" ht="12.75" customHeight="1" thickBot="1" x14ac:dyDescent="0.25">
      <c r="A32" s="66" t="s">
        <v>301</v>
      </c>
      <c r="B32" s="203"/>
      <c r="C32" s="203" t="s">
        <v>158</v>
      </c>
      <c r="D32" s="37"/>
      <c r="E32" s="37"/>
      <c r="F32" s="37"/>
      <c r="G32" s="37"/>
      <c r="H32" s="38">
        <f>SUM(H33:H41)</f>
        <v>55089.928983825863</v>
      </c>
      <c r="I32" s="20"/>
      <c r="O32" s="70"/>
      <c r="Q32" s="70"/>
    </row>
    <row r="33" spans="1:17" ht="12.75" customHeight="1" x14ac:dyDescent="0.2">
      <c r="A33" s="186"/>
      <c r="B33" s="185"/>
      <c r="C33" s="185" t="s">
        <v>175</v>
      </c>
      <c r="D33" s="185"/>
      <c r="E33" s="185"/>
      <c r="F33" s="185"/>
      <c r="G33" s="185"/>
      <c r="H33" s="187"/>
      <c r="I33" s="20"/>
      <c r="O33" s="70"/>
      <c r="Q33" s="70"/>
    </row>
    <row r="34" spans="1:17" ht="18" customHeight="1" x14ac:dyDescent="0.2">
      <c r="A34" s="195" t="s">
        <v>302</v>
      </c>
      <c r="B34" s="190">
        <v>102491</v>
      </c>
      <c r="C34" s="191" t="s">
        <v>164</v>
      </c>
      <c r="D34" s="189" t="s">
        <v>61</v>
      </c>
      <c r="E34" s="214">
        <f>197.58+E44</f>
        <v>267.58000000000004</v>
      </c>
      <c r="F34" s="24">
        <v>16.39</v>
      </c>
      <c r="G34" s="24">
        <f>F34+(F34*E4)</f>
        <v>20.247467864279166</v>
      </c>
      <c r="H34" s="196">
        <f>G34*E34</f>
        <v>5417.8174511238203</v>
      </c>
      <c r="I34" s="20"/>
      <c r="O34" s="70"/>
      <c r="Q34" s="70"/>
    </row>
    <row r="35" spans="1:17" ht="12.75" customHeight="1" x14ac:dyDescent="0.2">
      <c r="A35" s="186"/>
      <c r="B35" s="185"/>
      <c r="C35" s="185" t="s">
        <v>160</v>
      </c>
      <c r="D35" s="185"/>
      <c r="E35" s="185"/>
      <c r="F35" s="185"/>
      <c r="G35" s="185"/>
      <c r="H35" s="187"/>
      <c r="I35" s="20"/>
      <c r="O35" s="70"/>
      <c r="Q35" s="70"/>
    </row>
    <row r="36" spans="1:17" ht="17.25" customHeight="1" x14ac:dyDescent="0.2">
      <c r="A36" s="195" t="s">
        <v>303</v>
      </c>
      <c r="B36" s="190">
        <v>95305</v>
      </c>
      <c r="C36" s="191" t="s">
        <v>165</v>
      </c>
      <c r="D36" s="189" t="s">
        <v>61</v>
      </c>
      <c r="E36" s="214">
        <f>E37</f>
        <v>1511.9199999999998</v>
      </c>
      <c r="F36" s="24">
        <v>12.23</v>
      </c>
      <c r="G36" s="24">
        <f>F36+(F36*E4)</f>
        <v>15.108391212942905</v>
      </c>
      <c r="H36" s="196">
        <f>G36*E36</f>
        <v>22842.678842672634</v>
      </c>
      <c r="I36" s="20"/>
      <c r="O36" s="70"/>
      <c r="Q36" s="70"/>
    </row>
    <row r="37" spans="1:17" ht="16.5" x14ac:dyDescent="0.2">
      <c r="A37" s="195" t="s">
        <v>304</v>
      </c>
      <c r="B37" s="190">
        <v>88489</v>
      </c>
      <c r="C37" s="191" t="s">
        <v>166</v>
      </c>
      <c r="D37" s="189" t="s">
        <v>61</v>
      </c>
      <c r="E37" s="214">
        <f>'Quadro de Areas'!B31</f>
        <v>1511.9199999999998</v>
      </c>
      <c r="F37" s="24">
        <v>13.72</v>
      </c>
      <c r="G37" s="24">
        <f>F37+(F37*E4)</f>
        <v>16.949070109695555</v>
      </c>
      <c r="H37" s="196">
        <f>G37*E37</f>
        <v>25625.638080250901</v>
      </c>
      <c r="I37" s="20"/>
      <c r="O37" s="70"/>
      <c r="Q37" s="70"/>
    </row>
    <row r="38" spans="1:17" ht="12.75" customHeight="1" x14ac:dyDescent="0.2">
      <c r="A38" s="186"/>
      <c r="B38" s="185"/>
      <c r="C38" s="185" t="s">
        <v>161</v>
      </c>
      <c r="D38" s="185"/>
      <c r="E38" s="185"/>
      <c r="F38" s="185"/>
      <c r="G38" s="185"/>
      <c r="H38" s="187"/>
      <c r="I38" s="20"/>
      <c r="O38" s="70"/>
      <c r="Q38" s="70"/>
    </row>
    <row r="39" spans="1:17" ht="18" customHeight="1" x14ac:dyDescent="0.2">
      <c r="A39" s="195" t="s">
        <v>305</v>
      </c>
      <c r="B39" s="190">
        <v>102218</v>
      </c>
      <c r="C39" s="191" t="s">
        <v>162</v>
      </c>
      <c r="D39" s="189" t="s">
        <v>61</v>
      </c>
      <c r="E39" s="214">
        <f>'Tabela de Esquadria'!I31</f>
        <v>55.440000000000005</v>
      </c>
      <c r="F39" s="24">
        <v>8.3000000000000007</v>
      </c>
      <c r="G39" s="24">
        <f>F39+(F39*E4)</f>
        <v>10.253446203387254</v>
      </c>
      <c r="H39" s="196">
        <f>G39*E39</f>
        <v>568.45105751578944</v>
      </c>
      <c r="I39" s="20"/>
    </row>
    <row r="40" spans="1:17" ht="12.75" customHeight="1" x14ac:dyDescent="0.2">
      <c r="A40" s="186"/>
      <c r="B40" s="185"/>
      <c r="C40" s="185" t="s">
        <v>159</v>
      </c>
      <c r="D40" s="185"/>
      <c r="E40" s="185"/>
      <c r="F40" s="185"/>
      <c r="G40" s="185"/>
      <c r="H40" s="187"/>
      <c r="I40" s="20"/>
    </row>
    <row r="41" spans="1:17" ht="17.25" thickBot="1" x14ac:dyDescent="0.25">
      <c r="A41" s="197" t="s">
        <v>281</v>
      </c>
      <c r="B41" s="198">
        <v>100753</v>
      </c>
      <c r="C41" s="199" t="s">
        <v>163</v>
      </c>
      <c r="D41" s="200" t="s">
        <v>61</v>
      </c>
      <c r="E41" s="215">
        <f>'Tabela de Esquadria'!H32+E31</f>
        <v>27.770000000000003</v>
      </c>
      <c r="F41" s="201">
        <v>18.52</v>
      </c>
      <c r="G41" s="201">
        <f>F41+(F41*E4)</f>
        <v>22.878773938160471</v>
      </c>
      <c r="H41" s="202">
        <f t="shared" ref="H41" si="3">G41*E41</f>
        <v>635.34355226271634</v>
      </c>
      <c r="I41" s="20"/>
    </row>
    <row r="42" spans="1:17" ht="12.75" customHeight="1" thickBot="1" x14ac:dyDescent="0.25">
      <c r="A42" s="192" t="s">
        <v>306</v>
      </c>
      <c r="B42" s="204"/>
      <c r="C42" s="204" t="s">
        <v>181</v>
      </c>
      <c r="D42" s="193"/>
      <c r="E42" s="193"/>
      <c r="F42" s="193"/>
      <c r="G42" s="193"/>
      <c r="H42" s="194">
        <f>SUM(H43:H45)</f>
        <v>160961.65822794859</v>
      </c>
      <c r="I42" s="20"/>
      <c r="J42" s="39"/>
      <c r="K42" s="39"/>
    </row>
    <row r="43" spans="1:17" ht="33" x14ac:dyDescent="0.2">
      <c r="A43" s="69" t="s">
        <v>308</v>
      </c>
      <c r="B43" s="8">
        <v>87262</v>
      </c>
      <c r="C43" s="107" t="s">
        <v>156</v>
      </c>
      <c r="D43" s="14" t="s">
        <v>99</v>
      </c>
      <c r="E43" s="213">
        <f>(752.68+10.01+39.07)</f>
        <v>801.76</v>
      </c>
      <c r="F43" s="23">
        <v>152.43</v>
      </c>
      <c r="G43" s="24">
        <f>F43+(F43*E4)</f>
        <v>188.30515720268903</v>
      </c>
      <c r="H43" s="21">
        <f>E43*G43</f>
        <v>150975.54283882797</v>
      </c>
      <c r="I43" s="20"/>
      <c r="J43" s="39"/>
      <c r="K43" s="39"/>
    </row>
    <row r="44" spans="1:17" ht="33" x14ac:dyDescent="0.2">
      <c r="A44" s="69" t="s">
        <v>309</v>
      </c>
      <c r="B44" s="8">
        <v>94994</v>
      </c>
      <c r="C44" s="107" t="s">
        <v>273</v>
      </c>
      <c r="D44" s="14" t="s">
        <v>99</v>
      </c>
      <c r="E44" s="213">
        <f>20*3.5</f>
        <v>70</v>
      </c>
      <c r="F44" s="23">
        <v>114.9</v>
      </c>
      <c r="G44" s="24">
        <f>F44+(F44*E4)</f>
        <v>141.94228539387896</v>
      </c>
      <c r="H44" s="21">
        <f>E44*G44</f>
        <v>9935.9599775715269</v>
      </c>
      <c r="I44" s="20"/>
      <c r="J44" s="39"/>
      <c r="K44" s="39"/>
    </row>
    <row r="45" spans="1:17" ht="25.5" thickBot="1" x14ac:dyDescent="0.25">
      <c r="A45" s="69" t="s">
        <v>310</v>
      </c>
      <c r="B45" s="8">
        <v>97084</v>
      </c>
      <c r="C45" s="107" t="s">
        <v>277</v>
      </c>
      <c r="D45" s="14" t="s">
        <v>99</v>
      </c>
      <c r="E45" s="213">
        <f>20*3.5</f>
        <v>70</v>
      </c>
      <c r="F45" s="23">
        <v>0.57999999999999996</v>
      </c>
      <c r="G45" s="24">
        <f>F45+(F45*E4)</f>
        <v>0.71650587927284415</v>
      </c>
      <c r="H45" s="21">
        <f>E45*G45</f>
        <v>50.155411549099092</v>
      </c>
      <c r="I45" s="20"/>
      <c r="J45" s="39"/>
      <c r="K45" s="39"/>
    </row>
    <row r="46" spans="1:17" x14ac:dyDescent="0.2">
      <c r="A46" s="182" t="s">
        <v>311</v>
      </c>
      <c r="B46" s="205"/>
      <c r="C46" s="205" t="s">
        <v>81</v>
      </c>
      <c r="D46" s="183"/>
      <c r="E46" s="183"/>
      <c r="F46" s="183"/>
      <c r="G46" s="183"/>
      <c r="H46" s="184">
        <f>SUM(H47:H55)</f>
        <v>271955.98683535878</v>
      </c>
      <c r="J46" s="188"/>
      <c r="K46" s="39"/>
    </row>
    <row r="47" spans="1:17" ht="16.5" x14ac:dyDescent="0.2">
      <c r="A47" s="68" t="s">
        <v>307</v>
      </c>
      <c r="B47" s="8">
        <v>94218</v>
      </c>
      <c r="C47" s="107" t="s">
        <v>274</v>
      </c>
      <c r="D47" s="14" t="s">
        <v>61</v>
      </c>
      <c r="E47" s="213">
        <v>934.83</v>
      </c>
      <c r="F47" s="24">
        <v>129.38999999999999</v>
      </c>
      <c r="G47" s="24">
        <f>F47+(F47*E4)</f>
        <v>159.84257882605741</v>
      </c>
      <c r="H47" s="196">
        <f>E47*G47</f>
        <v>149425.63796396327</v>
      </c>
      <c r="I47" s="20"/>
      <c r="J47" s="39"/>
      <c r="K47" s="39"/>
    </row>
    <row r="48" spans="1:17" ht="16.5" x14ac:dyDescent="0.2">
      <c r="A48" s="68" t="s">
        <v>312</v>
      </c>
      <c r="B48" s="8">
        <v>94541</v>
      </c>
      <c r="C48" s="107" t="s">
        <v>275</v>
      </c>
      <c r="D48" s="14" t="s">
        <v>62</v>
      </c>
      <c r="E48" s="213">
        <v>82</v>
      </c>
      <c r="F48" s="24">
        <v>95.42</v>
      </c>
      <c r="G48" s="24">
        <f>F48+(F48*E4)</f>
        <v>117.87757069002551</v>
      </c>
      <c r="H48" s="196">
        <f>E48*G48</f>
        <v>9665.9607965820924</v>
      </c>
      <c r="I48" s="20"/>
      <c r="J48" s="39"/>
      <c r="K48" s="39"/>
    </row>
    <row r="49" spans="1:11" ht="33" x14ac:dyDescent="0.2">
      <c r="A49" s="68" t="s">
        <v>313</v>
      </c>
      <c r="B49" s="8">
        <v>100358</v>
      </c>
      <c r="C49" s="107" t="s">
        <v>246</v>
      </c>
      <c r="D49" s="14" t="s">
        <v>60</v>
      </c>
      <c r="E49" s="213">
        <v>2</v>
      </c>
      <c r="F49" s="24">
        <v>1243.6600000000001</v>
      </c>
      <c r="G49" s="24">
        <f>F49+(F49*E4)</f>
        <v>1536.3615548559749</v>
      </c>
      <c r="H49" s="196">
        <f t="shared" ref="H49:H54" si="4">E49*G49</f>
        <v>3072.7231097119497</v>
      </c>
      <c r="I49" s="20"/>
      <c r="J49" s="39"/>
      <c r="K49" s="39"/>
    </row>
    <row r="50" spans="1:11" ht="33" x14ac:dyDescent="0.2">
      <c r="A50" s="68" t="s">
        <v>314</v>
      </c>
      <c r="B50" s="8">
        <v>100359</v>
      </c>
      <c r="C50" s="107" t="s">
        <v>249</v>
      </c>
      <c r="D50" s="14" t="s">
        <v>60</v>
      </c>
      <c r="E50" s="213">
        <v>2</v>
      </c>
      <c r="F50" s="24">
        <v>1309.54</v>
      </c>
      <c r="G50" s="24">
        <f>F50+(F50*E4)</f>
        <v>1617.7467399016557</v>
      </c>
      <c r="H50" s="196">
        <f t="shared" si="4"/>
        <v>3235.4934798033114</v>
      </c>
      <c r="I50" s="20"/>
      <c r="J50" s="39"/>
      <c r="K50" s="39"/>
    </row>
    <row r="51" spans="1:11" ht="33" x14ac:dyDescent="0.2">
      <c r="A51" s="68" t="s">
        <v>315</v>
      </c>
      <c r="B51" s="8">
        <v>100361</v>
      </c>
      <c r="C51" s="107" t="s">
        <v>247</v>
      </c>
      <c r="D51" s="14" t="s">
        <v>60</v>
      </c>
      <c r="E51" s="213">
        <v>2</v>
      </c>
      <c r="F51" s="24">
        <v>1798.43</v>
      </c>
      <c r="G51" s="24">
        <f>F51+(F51*E4)</f>
        <v>2221.6994283804502</v>
      </c>
      <c r="H51" s="196">
        <f t="shared" si="4"/>
        <v>4443.3988567609003</v>
      </c>
      <c r="I51" s="20"/>
      <c r="J51" s="39"/>
      <c r="K51" s="39"/>
    </row>
    <row r="52" spans="1:11" ht="24.75" x14ac:dyDescent="0.2">
      <c r="A52" s="68" t="s">
        <v>316</v>
      </c>
      <c r="B52" s="8">
        <v>92560</v>
      </c>
      <c r="C52" s="107" t="s">
        <v>245</v>
      </c>
      <c r="D52" s="14" t="s">
        <v>60</v>
      </c>
      <c r="E52" s="213">
        <v>1</v>
      </c>
      <c r="F52" s="24">
        <v>2006.99</v>
      </c>
      <c r="G52" s="24">
        <f>F52+(F52*E4)</f>
        <v>2479.3450597272508</v>
      </c>
      <c r="H52" s="196">
        <f t="shared" si="4"/>
        <v>2479.3450597272508</v>
      </c>
      <c r="I52" s="20"/>
      <c r="J52" s="39"/>
      <c r="K52" s="39"/>
    </row>
    <row r="53" spans="1:11" ht="24.75" x14ac:dyDescent="0.2">
      <c r="A53" s="68" t="s">
        <v>317</v>
      </c>
      <c r="B53" s="8">
        <v>100365</v>
      </c>
      <c r="C53" s="107" t="s">
        <v>151</v>
      </c>
      <c r="D53" s="14" t="s">
        <v>60</v>
      </c>
      <c r="E53" s="213">
        <v>22</v>
      </c>
      <c r="F53" s="24">
        <v>2565.3200000000002</v>
      </c>
      <c r="G53" s="24">
        <f>F53+(F53*E4)</f>
        <v>3169.0807969245047</v>
      </c>
      <c r="H53" s="196">
        <f>E53*G53</f>
        <v>69719.777532339111</v>
      </c>
      <c r="I53" s="20"/>
      <c r="J53" s="206"/>
      <c r="K53" s="39"/>
    </row>
    <row r="54" spans="1:11" ht="24.75" x14ac:dyDescent="0.2">
      <c r="A54" s="68" t="s">
        <v>318</v>
      </c>
      <c r="B54" s="8">
        <v>92564</v>
      </c>
      <c r="C54" s="107" t="s">
        <v>248</v>
      </c>
      <c r="D54" s="14" t="s">
        <v>60</v>
      </c>
      <c r="E54" s="213">
        <v>2</v>
      </c>
      <c r="F54" s="24">
        <v>2646.83</v>
      </c>
      <c r="G54" s="24">
        <f>F54+(F54*E4)</f>
        <v>3269.7745800616244</v>
      </c>
      <c r="H54" s="196">
        <f t="shared" si="4"/>
        <v>6539.5491601232488</v>
      </c>
      <c r="I54" s="20"/>
      <c r="J54" s="206"/>
      <c r="K54" s="39"/>
    </row>
    <row r="55" spans="1:11" ht="25.5" thickBot="1" x14ac:dyDescent="0.25">
      <c r="A55" s="68" t="s">
        <v>319</v>
      </c>
      <c r="B55" s="8">
        <v>92543</v>
      </c>
      <c r="C55" s="107" t="s">
        <v>150</v>
      </c>
      <c r="D55" s="14" t="s">
        <v>61</v>
      </c>
      <c r="E55" s="213">
        <f>E47</f>
        <v>934.83</v>
      </c>
      <c r="F55" s="24">
        <v>20.239999999999998</v>
      </c>
      <c r="G55" s="24">
        <f>F55+(F55*E4)</f>
        <v>25.003584476693732</v>
      </c>
      <c r="H55" s="196">
        <f>E55*G55</f>
        <v>23374.100876347602</v>
      </c>
      <c r="I55" s="20"/>
      <c r="J55" s="39"/>
      <c r="K55" s="39"/>
    </row>
    <row r="56" spans="1:11" x14ac:dyDescent="0.2">
      <c r="A56" s="182" t="s">
        <v>320</v>
      </c>
      <c r="B56" s="205"/>
      <c r="C56" s="205" t="s">
        <v>168</v>
      </c>
      <c r="D56" s="183"/>
      <c r="E56" s="183"/>
      <c r="F56" s="183"/>
      <c r="G56" s="183"/>
      <c r="H56" s="184">
        <f>SUM(H57)</f>
        <v>27567.349902139013</v>
      </c>
      <c r="I56" s="20"/>
      <c r="J56" s="39"/>
      <c r="K56" s="39"/>
    </row>
    <row r="57" spans="1:11" ht="17.25" thickBot="1" x14ac:dyDescent="0.25">
      <c r="A57" s="68" t="s">
        <v>321</v>
      </c>
      <c r="B57" s="8">
        <v>96116</v>
      </c>
      <c r="C57" s="107" t="s">
        <v>326</v>
      </c>
      <c r="D57" s="14" t="s">
        <v>61</v>
      </c>
      <c r="E57" s="213">
        <f>E55*0.3</f>
        <v>280.44900000000001</v>
      </c>
      <c r="F57" s="24">
        <v>79.569999999999993</v>
      </c>
      <c r="G57" s="24">
        <f>F57+(F57*E4)</f>
        <v>98.297194506448633</v>
      </c>
      <c r="H57" s="196">
        <f>E57*G57</f>
        <v>27567.349902139013</v>
      </c>
      <c r="I57" s="20"/>
      <c r="J57" s="39"/>
      <c r="K57" s="39"/>
    </row>
    <row r="58" spans="1:11" x14ac:dyDescent="0.2">
      <c r="A58" s="182" t="s">
        <v>322</v>
      </c>
      <c r="B58" s="205"/>
      <c r="C58" s="205" t="s">
        <v>186</v>
      </c>
      <c r="D58" s="183"/>
      <c r="E58" s="183"/>
      <c r="F58" s="183"/>
      <c r="G58" s="183"/>
      <c r="H58" s="184">
        <f>SUM(H59:H61)</f>
        <v>2224.8619370889651</v>
      </c>
      <c r="I58" s="20"/>
      <c r="J58" s="39"/>
      <c r="K58" s="39"/>
    </row>
    <row r="59" spans="1:11" ht="16.5" x14ac:dyDescent="0.2">
      <c r="A59" s="68" t="s">
        <v>323</v>
      </c>
      <c r="B59" s="8">
        <v>95471</v>
      </c>
      <c r="C59" s="107" t="s">
        <v>255</v>
      </c>
      <c r="D59" s="14" t="s">
        <v>60</v>
      </c>
      <c r="E59" s="213">
        <v>1</v>
      </c>
      <c r="F59" s="24">
        <v>710.69</v>
      </c>
      <c r="G59" s="24">
        <f>F59+(F59*E4)</f>
        <v>877.95441955244428</v>
      </c>
      <c r="H59" s="196">
        <f>E59*G59</f>
        <v>877.95441955244428</v>
      </c>
      <c r="I59" s="20"/>
      <c r="J59" s="39"/>
      <c r="K59" s="39"/>
    </row>
    <row r="60" spans="1:11" ht="16.5" x14ac:dyDescent="0.2">
      <c r="A60" s="68" t="s">
        <v>324</v>
      </c>
      <c r="B60" s="8">
        <v>96469</v>
      </c>
      <c r="C60" s="107" t="s">
        <v>256</v>
      </c>
      <c r="D60" s="14" t="s">
        <v>60</v>
      </c>
      <c r="E60" s="213">
        <v>2</v>
      </c>
      <c r="F60" s="24">
        <v>279.41000000000003</v>
      </c>
      <c r="G60" s="24">
        <f>F60+(F60*E4)</f>
        <v>345.1705305648714</v>
      </c>
      <c r="H60" s="196">
        <f>E60*G60</f>
        <v>690.3410611297428</v>
      </c>
      <c r="I60" s="20"/>
      <c r="J60" s="39"/>
      <c r="K60" s="39"/>
    </row>
    <row r="61" spans="1:11" ht="17.25" thickBot="1" x14ac:dyDescent="0.25">
      <c r="A61" s="197" t="s">
        <v>325</v>
      </c>
      <c r="B61" s="198">
        <v>103018</v>
      </c>
      <c r="C61" s="199" t="s">
        <v>276</v>
      </c>
      <c r="D61" s="200" t="s">
        <v>60</v>
      </c>
      <c r="E61" s="215">
        <v>3</v>
      </c>
      <c r="F61" s="201">
        <v>177.16</v>
      </c>
      <c r="G61" s="201">
        <f>F61+(F61*E4)</f>
        <v>218.85548546892599</v>
      </c>
      <c r="H61" s="202">
        <f>E61*G61</f>
        <v>656.566456406778</v>
      </c>
      <c r="I61" s="20"/>
      <c r="J61" s="39"/>
      <c r="K61" s="39"/>
    </row>
    <row r="62" spans="1:11" ht="13.5" thickBot="1" x14ac:dyDescent="0.25">
      <c r="A62" s="48"/>
      <c r="B62" s="47"/>
      <c r="C62" s="181"/>
      <c r="D62" s="48"/>
      <c r="E62" s="44"/>
      <c r="F62" s="45"/>
      <c r="G62" s="45"/>
      <c r="H62" s="45"/>
      <c r="I62" s="20"/>
      <c r="J62" s="39"/>
      <c r="K62" s="39"/>
    </row>
    <row r="63" spans="1:11" ht="13.5" thickBot="1" x14ac:dyDescent="0.25">
      <c r="A63" s="48"/>
      <c r="B63" s="47"/>
      <c r="C63" s="181"/>
      <c r="D63" s="48"/>
      <c r="E63" s="44"/>
      <c r="F63" s="45"/>
      <c r="G63" s="269">
        <f>H10+H12+H29+H32+H42+H46+H56+H23+H58</f>
        <v>669346.5559835626</v>
      </c>
      <c r="H63" s="270"/>
      <c r="I63" s="20"/>
      <c r="J63" s="39"/>
      <c r="K63" s="39"/>
    </row>
    <row r="64" spans="1:11" x14ac:dyDescent="0.2">
      <c r="A64" s="48"/>
      <c r="B64" s="47"/>
      <c r="C64" s="181"/>
      <c r="D64" s="48"/>
      <c r="E64" s="44"/>
      <c r="F64" s="45"/>
      <c r="I64" s="20"/>
      <c r="J64" s="39"/>
      <c r="K64" s="39"/>
    </row>
    <row r="65" spans="1:12" x14ac:dyDescent="0.2">
      <c r="A65" s="1"/>
      <c r="B65" s="1"/>
      <c r="C65" s="1"/>
      <c r="D65" s="1"/>
      <c r="E65" s="1"/>
      <c r="F65" s="108"/>
      <c r="G65" s="1"/>
      <c r="H65" s="1"/>
    </row>
    <row r="66" spans="1:12" x14ac:dyDescent="0.2">
      <c r="D66" s="52"/>
      <c r="E66" s="52"/>
      <c r="F66" s="52"/>
      <c r="J66" s="9"/>
      <c r="L66" s="9"/>
    </row>
    <row r="70" spans="1:12" x14ac:dyDescent="0.2">
      <c r="D70" s="32"/>
      <c r="E70" s="32"/>
      <c r="F70" s="32"/>
      <c r="G70" s="32"/>
      <c r="H70" s="32"/>
    </row>
    <row r="71" spans="1:12" x14ac:dyDescent="0.2">
      <c r="D71" s="31"/>
      <c r="E71" s="31"/>
      <c r="F71" s="31"/>
      <c r="G71" s="31"/>
      <c r="H71" s="31"/>
    </row>
    <row r="72" spans="1:12" x14ac:dyDescent="0.2">
      <c r="D72" s="33"/>
      <c r="E72" s="33"/>
      <c r="F72" s="33"/>
      <c r="G72" s="33"/>
      <c r="H72" s="33"/>
    </row>
  </sheetData>
  <mergeCells count="12">
    <mergeCell ref="A1:H1"/>
    <mergeCell ref="A2:B4"/>
    <mergeCell ref="D2:F2"/>
    <mergeCell ref="G2:H4"/>
    <mergeCell ref="D3:F3"/>
    <mergeCell ref="E4:F4"/>
    <mergeCell ref="G63:H63"/>
    <mergeCell ref="B6:G6"/>
    <mergeCell ref="B7:G7"/>
    <mergeCell ref="C2:C4"/>
    <mergeCell ref="A5:H5"/>
    <mergeCell ref="A8:H8"/>
  </mergeCells>
  <phoneticPr fontId="27" type="noConversion"/>
  <pageMargins left="0.25" right="0.25" top="0.75" bottom="0.75" header="0.3" footer="0.3"/>
  <pageSetup paperSize="9" scale="5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zoomScale="130" zoomScaleNormal="130" workbookViewId="0">
      <selection activeCell="C19" sqref="C19"/>
    </sheetView>
  </sheetViews>
  <sheetFormatPr defaultRowHeight="12.75" x14ac:dyDescent="0.2"/>
  <cols>
    <col min="1" max="1" width="16" customWidth="1"/>
    <col min="2" max="2" width="12.6640625" customWidth="1"/>
    <col min="3" max="3" width="46.1640625" customWidth="1"/>
    <col min="4" max="4" width="42.6640625" customWidth="1"/>
    <col min="5" max="5" width="10" customWidth="1"/>
    <col min="6" max="6" width="10.83203125" customWidth="1"/>
  </cols>
  <sheetData>
    <row r="1" spans="1:13" ht="4.5" customHeight="1" thickBot="1" x14ac:dyDescent="0.25">
      <c r="A1" s="285"/>
      <c r="B1" s="286"/>
      <c r="C1" s="286"/>
      <c r="D1" s="286"/>
      <c r="E1" s="286"/>
      <c r="F1" s="287"/>
    </row>
    <row r="2" spans="1:13" ht="15.6" customHeight="1" x14ac:dyDescent="0.2">
      <c r="A2" s="297"/>
      <c r="B2" s="298"/>
      <c r="C2" s="288" t="s">
        <v>77</v>
      </c>
      <c r="D2" s="288"/>
      <c r="E2" s="303"/>
      <c r="F2" s="304"/>
    </row>
    <row r="3" spans="1:13" ht="9.75" customHeight="1" x14ac:dyDescent="0.2">
      <c r="A3" s="299"/>
      <c r="B3" s="300"/>
      <c r="C3" s="289"/>
      <c r="D3" s="289"/>
      <c r="E3" s="305"/>
      <c r="F3" s="306"/>
    </row>
    <row r="4" spans="1:13" ht="7.5" customHeight="1" x14ac:dyDescent="0.2">
      <c r="A4" s="299"/>
      <c r="B4" s="300"/>
      <c r="C4" s="289"/>
      <c r="D4" s="289"/>
      <c r="E4" s="305"/>
      <c r="F4" s="306"/>
    </row>
    <row r="5" spans="1:13" ht="10.5" customHeight="1" x14ac:dyDescent="0.2">
      <c r="A5" s="299"/>
      <c r="B5" s="300"/>
      <c r="C5" s="289"/>
      <c r="D5" s="289"/>
      <c r="E5" s="305"/>
      <c r="F5" s="306"/>
    </row>
    <row r="6" spans="1:13" ht="9" customHeight="1" thickBot="1" x14ac:dyDescent="0.25">
      <c r="A6" s="301"/>
      <c r="B6" s="302"/>
      <c r="C6" s="290"/>
      <c r="D6" s="290"/>
      <c r="E6" s="307"/>
      <c r="F6" s="308"/>
    </row>
    <row r="7" spans="1:13" ht="26.25" customHeight="1" x14ac:dyDescent="0.2">
      <c r="A7" s="82" t="s">
        <v>63</v>
      </c>
      <c r="B7" s="295" t="s">
        <v>146</v>
      </c>
      <c r="C7" s="295"/>
      <c r="D7" s="295"/>
      <c r="E7" s="291" t="s">
        <v>75</v>
      </c>
      <c r="F7" s="292"/>
      <c r="G7" s="35"/>
      <c r="H7" s="35"/>
    </row>
    <row r="8" spans="1:13" ht="16.5" customHeight="1" thickBot="1" x14ac:dyDescent="0.25">
      <c r="A8" s="83" t="s">
        <v>64</v>
      </c>
      <c r="B8" s="296" t="s">
        <v>148</v>
      </c>
      <c r="C8" s="296"/>
      <c r="D8" s="296"/>
      <c r="E8" s="293">
        <f ca="1">TODAY()</f>
        <v>44734</v>
      </c>
      <c r="F8" s="294"/>
      <c r="G8" s="36"/>
      <c r="H8" s="36"/>
    </row>
    <row r="9" spans="1:13" ht="16.5" customHeight="1" x14ac:dyDescent="0.2">
      <c r="A9" s="309" t="s">
        <v>65</v>
      </c>
      <c r="B9" s="310"/>
      <c r="C9" s="311"/>
      <c r="D9" s="311"/>
      <c r="E9" s="311"/>
      <c r="F9" s="312"/>
    </row>
    <row r="10" spans="1:13" ht="7.35" customHeight="1" thickBot="1" x14ac:dyDescent="0.2">
      <c r="A10" s="313"/>
      <c r="B10" s="314"/>
      <c r="C10" s="315"/>
      <c r="D10" s="315"/>
      <c r="E10" s="315"/>
      <c r="F10" s="316"/>
    </row>
    <row r="11" spans="1:13" ht="12" customHeight="1" x14ac:dyDescent="0.2">
      <c r="A11" s="180" t="str">
        <f>'PLANILHA ORÇAMENTÁRIA'!A10</f>
        <v>1.0</v>
      </c>
      <c r="B11" s="282" t="str">
        <f>'PLANILHA ORÇAMENTÁRIA'!C10</f>
        <v>ADMINISTRAÇÃO DE OBRA</v>
      </c>
      <c r="C11" s="283"/>
      <c r="D11" s="283"/>
      <c r="E11" s="283"/>
      <c r="F11" s="284"/>
    </row>
    <row r="12" spans="1:13" ht="54.75" thickBot="1" x14ac:dyDescent="0.2">
      <c r="A12" s="75" t="str">
        <f>'PLANILHA ORÇAMENTÁRIA'!A11</f>
        <v>1.1</v>
      </c>
      <c r="B12" s="77" t="str">
        <f>'PLANILHA ORÇAMENTÁRIA'!B11</f>
        <v>COMPOSIÇÃO I</v>
      </c>
      <c r="C12" s="72" t="str">
        <f>'PLANILHA ORÇAMENTÁRIA'!C11</f>
        <v>ADMINISTRAÇÃO LOCAL</v>
      </c>
      <c r="D12" s="73" t="s">
        <v>189</v>
      </c>
      <c r="E12" s="74">
        <f>'PLANILHA ORÇAMENTÁRIA'!E11</f>
        <v>3</v>
      </c>
      <c r="F12" s="76" t="str">
        <f>'PLANILHA ORÇAMENTÁRIA'!D11</f>
        <v>Und.</v>
      </c>
      <c r="G12" s="17"/>
      <c r="H12" s="18"/>
      <c r="I12" s="18"/>
      <c r="J12" s="18"/>
      <c r="K12" s="18"/>
      <c r="L12" s="18"/>
      <c r="M12" s="18"/>
    </row>
    <row r="13" spans="1:13" ht="10.35" customHeight="1" x14ac:dyDescent="0.2">
      <c r="A13" s="180" t="str">
        <f>'PLANILHA ORÇAMENTÁRIA'!A12</f>
        <v>2.0</v>
      </c>
      <c r="B13" s="282" t="str">
        <f>'PLANILHA ORÇAMENTÁRIA'!C12</f>
        <v xml:space="preserve">SERVIÇOS PRELIMINARES, DEMOLIÇÕES, RETIRADAS E  MOVIMENTAÇÃO DE TERRA </v>
      </c>
      <c r="C13" s="283"/>
      <c r="D13" s="283"/>
      <c r="E13" s="283"/>
      <c r="F13" s="284"/>
      <c r="G13" s="71"/>
      <c r="H13" s="18"/>
      <c r="I13" s="18"/>
      <c r="J13" s="18"/>
      <c r="K13" s="18"/>
      <c r="L13" s="18"/>
      <c r="M13" s="18"/>
    </row>
    <row r="14" spans="1:13" ht="27" x14ac:dyDescent="0.2">
      <c r="A14" s="75" t="str">
        <f>'PLANILHA ORÇAMENTÁRIA'!A13</f>
        <v>2.1</v>
      </c>
      <c r="B14" s="77" t="str">
        <f>'PLANILHA ORÇAMENTÁRIA'!B13</f>
        <v xml:space="preserve">COMPOSIÇÃO II </v>
      </c>
      <c r="C14" s="72" t="str">
        <f>'PLANILHA ORÇAMENTÁRIA'!C13</f>
        <v>LIMPEZA MECANIZADA DO TERRENO C/ RETROESCAVADEIRA (VEGETAÇÃO RASTEIRA) INCLUSIVE CARGA E TRANSPORTE - DMT ATÉ 1KM</v>
      </c>
      <c r="D14" s="73" t="s">
        <v>190</v>
      </c>
      <c r="E14" s="74">
        <f>'PLANILHA ORÇAMENTÁRIA'!E13</f>
        <v>400</v>
      </c>
      <c r="F14" s="76" t="str">
        <f>'PLANILHA ORÇAMENTÁRIA'!D13</f>
        <v>m²</v>
      </c>
      <c r="G14" s="71"/>
      <c r="H14" s="18"/>
      <c r="I14" s="18"/>
      <c r="J14" s="18"/>
      <c r="K14" s="18"/>
      <c r="L14" s="18"/>
      <c r="M14" s="18"/>
    </row>
    <row r="15" spans="1:13" ht="18" x14ac:dyDescent="0.2">
      <c r="A15" s="75" t="str">
        <f>'PLANILHA ORÇAMENTÁRIA'!A14</f>
        <v>2.2</v>
      </c>
      <c r="B15" s="77" t="str">
        <f>'PLANILHA ORÇAMENTÁRIA'!B14</f>
        <v>COMPOSIÇÃO III</v>
      </c>
      <c r="C15" s="72" t="str">
        <f>'PLANILHA ORÇAMENTÁRIA'!C14</f>
        <v xml:space="preserve">PLACA DE OBRA EM CHAPA DE ACO GALVANIZADO </v>
      </c>
      <c r="D15" s="73" t="s">
        <v>195</v>
      </c>
      <c r="E15" s="74">
        <f>'PLANILHA ORÇAMENTÁRIA'!E14</f>
        <v>12.5</v>
      </c>
      <c r="F15" s="76" t="str">
        <f>'PLANILHA ORÇAMENTÁRIA'!D14</f>
        <v>m²</v>
      </c>
      <c r="G15" s="71"/>
      <c r="H15" s="18"/>
      <c r="I15" s="18"/>
      <c r="J15" s="18"/>
      <c r="K15" s="18"/>
      <c r="L15" s="18"/>
      <c r="M15" s="18"/>
    </row>
    <row r="16" spans="1:13" ht="27" x14ac:dyDescent="0.2">
      <c r="A16" s="75" t="str">
        <f>'PLANILHA ORÇAMENTÁRIA'!A15</f>
        <v>2.3</v>
      </c>
      <c r="B16" s="77">
        <f>'PLANILHA ORÇAMENTÁRIA'!B15</f>
        <v>97647</v>
      </c>
      <c r="C16" s="72" t="str">
        <f>'PLANILHA ORÇAMENTÁRIA'!C15</f>
        <v>97647 REMOÇÃO DE TELHAS, DE FIBROCIMENTO, METÁLICA E CERÂMICA, DE FORMA MANU M2 CR 2,81
AL, SEM REAPROVEITAMENTO. AF_12/2017</v>
      </c>
      <c r="D16" s="73" t="s">
        <v>193</v>
      </c>
      <c r="E16" s="74">
        <f>'PLANILHA ORÇAMENTÁRIA'!E15</f>
        <v>934.83</v>
      </c>
      <c r="F16" s="76" t="str">
        <f>'PLANILHA ORÇAMENTÁRIA'!D15</f>
        <v>m²</v>
      </c>
      <c r="G16" s="71"/>
      <c r="H16" s="18"/>
      <c r="I16" s="18"/>
      <c r="J16" s="18"/>
      <c r="K16" s="18"/>
      <c r="L16" s="18"/>
      <c r="M16" s="18"/>
    </row>
    <row r="17" spans="1:13" ht="27" x14ac:dyDescent="0.2">
      <c r="A17" s="75" t="str">
        <f>'PLANILHA ORÇAMENTÁRIA'!A16</f>
        <v>2.4</v>
      </c>
      <c r="B17" s="77">
        <f>'PLANILHA ORÇAMENTÁRIA'!B16</f>
        <v>97652</v>
      </c>
      <c r="C17" s="72" t="str">
        <f>'PLANILHA ORÇAMENTÁRIA'!C16</f>
        <v>97652 REMOÇÃO DE TESOURAS DE MADEIRA, COM VÃO MAIOR OU IGUAL A 8M, DE FORMA UN CR 151,57
MANUAL, SEM REAPROVEITAMENTO. AF_12/2017</v>
      </c>
      <c r="D17" s="73" t="s">
        <v>193</v>
      </c>
      <c r="E17" s="74">
        <f>'PLANILHA ORÇAMENTÁRIA'!E16</f>
        <v>31</v>
      </c>
      <c r="F17" s="76" t="str">
        <f>'PLANILHA ORÇAMENTÁRIA'!D16</f>
        <v>Und.</v>
      </c>
      <c r="G17" s="71"/>
      <c r="H17" s="18"/>
      <c r="I17" s="18"/>
      <c r="J17" s="18"/>
      <c r="K17" s="18"/>
      <c r="L17" s="18"/>
      <c r="M17" s="18"/>
    </row>
    <row r="18" spans="1:13" ht="36" x14ac:dyDescent="0.2">
      <c r="A18" s="75" t="str">
        <f>'PLANILHA ORÇAMENTÁRIA'!A17</f>
        <v>2.5</v>
      </c>
      <c r="B18" s="77">
        <f>'PLANILHA ORÇAMENTÁRIA'!B17</f>
        <v>97650</v>
      </c>
      <c r="C18" s="72" t="str">
        <f>'PLANILHA ORÇAMENTÁRIA'!C17</f>
        <v>97650 REMOÇÃO DE TRAMA DE MADEIRA PARA COBERTURA, DE FORMA MANUAL, SEM REAPR M2 CR 6,03
OVEITAMENTO. AF_12/2017</v>
      </c>
      <c r="D18" s="73" t="s">
        <v>193</v>
      </c>
      <c r="E18" s="74">
        <f>'PLANILHA ORÇAMENTÁRIA'!E17</f>
        <v>934.83</v>
      </c>
      <c r="F18" s="76" t="str">
        <f>'PLANILHA ORÇAMENTÁRIA'!D17</f>
        <v>m²</v>
      </c>
      <c r="G18" s="71"/>
      <c r="H18" s="18"/>
      <c r="I18" s="18"/>
      <c r="J18" s="18"/>
      <c r="K18" s="18"/>
      <c r="L18" s="18"/>
      <c r="M18" s="18"/>
    </row>
    <row r="19" spans="1:13" ht="27" x14ac:dyDescent="0.2">
      <c r="A19" s="75" t="str">
        <f>'PLANILHA ORÇAMENTÁRIA'!A18</f>
        <v>2.6</v>
      </c>
      <c r="B19" s="77">
        <f>'PLANILHA ORÇAMENTÁRIA'!B18</f>
        <v>97634</v>
      </c>
      <c r="C19" s="72" t="str">
        <f>'PLANILHA ORÇAMENTÁRIA'!C18</f>
        <v>97634 DEMOLIÇÃO DE REVESTIMENTO CERÂMICO, DE FORMA MECANIZADA COM MARTELETE, M2 CR 9,68
SEM REAPROVEITAMENTO. AF_12/2017</v>
      </c>
      <c r="D19" s="73" t="s">
        <v>328</v>
      </c>
      <c r="E19" s="74">
        <f>'PLANILHA ORÇAMENTÁRIA'!E18</f>
        <v>801.76</v>
      </c>
      <c r="F19" s="76" t="str">
        <f>'PLANILHA ORÇAMENTÁRIA'!D18</f>
        <v>m²</v>
      </c>
      <c r="G19" s="71"/>
      <c r="H19" s="18"/>
      <c r="I19" s="18"/>
      <c r="J19" s="18"/>
      <c r="K19" s="18"/>
      <c r="L19" s="18"/>
      <c r="M19" s="18"/>
    </row>
    <row r="20" spans="1:13" ht="18" x14ac:dyDescent="0.2">
      <c r="A20" s="75" t="str">
        <f>'PLANILHA ORÇAMENTÁRIA'!A19</f>
        <v>2.7</v>
      </c>
      <c r="B20" s="77">
        <f>'PLANILHA ORÇAMENTÁRIA'!B19</f>
        <v>97644</v>
      </c>
      <c r="C20" s="72" t="str">
        <f>'PLANILHA ORÇAMENTÁRIA'!C19</f>
        <v>97644 REMOÇÃO DE PORTAS, DE FORMA MANUAL, SEM REAPROVEITAMENTO. AF_12/2017 M2 C 7,54</v>
      </c>
      <c r="D20" s="73" t="s">
        <v>329</v>
      </c>
      <c r="E20" s="74">
        <f>'PLANILHA ORÇAMENTÁRIA'!E19</f>
        <v>27.720000000000002</v>
      </c>
      <c r="F20" s="76" t="str">
        <f>'PLANILHA ORÇAMENTÁRIA'!D19</f>
        <v>m²</v>
      </c>
      <c r="G20" s="71"/>
      <c r="H20" s="18"/>
      <c r="I20" s="18"/>
      <c r="J20" s="18"/>
      <c r="K20" s="18"/>
      <c r="L20" s="18"/>
      <c r="M20" s="18"/>
    </row>
    <row r="21" spans="1:13" ht="27" x14ac:dyDescent="0.2">
      <c r="A21" s="75" t="str">
        <f>'PLANILHA ORÇAMENTÁRIA'!A20</f>
        <v>2.8</v>
      </c>
      <c r="B21" s="77">
        <f>'PLANILHA ORÇAMENTÁRIA'!B20</f>
        <v>97640</v>
      </c>
      <c r="C21" s="72" t="str">
        <f>'PLANILHA ORÇAMENTÁRIA'!C20</f>
        <v>97640 REMOÇÃO DE FORROS DE DRYWALL, PVC E FIBROMINERAL, DE FORMA MANUAL, SEM M2 CR 1,31
REAPROVEITAMENTO. AF_12/2017</v>
      </c>
      <c r="D21" s="73" t="s">
        <v>330</v>
      </c>
      <c r="E21" s="74">
        <f>'PLANILHA ORÇAMENTÁRIA'!E20</f>
        <v>280.44900000000001</v>
      </c>
      <c r="F21" s="76" t="str">
        <f>'PLANILHA ORÇAMENTÁRIA'!D20</f>
        <v>m²</v>
      </c>
      <c r="G21" s="71"/>
      <c r="H21" s="18"/>
      <c r="I21" s="18"/>
      <c r="J21" s="18"/>
      <c r="K21" s="18"/>
      <c r="L21" s="18"/>
      <c r="M21" s="18"/>
    </row>
    <row r="22" spans="1:13" ht="18" x14ac:dyDescent="0.2">
      <c r="A22" s="75" t="str">
        <f>'PLANILHA ORÇAMENTÁRIA'!A21</f>
        <v>2.9</v>
      </c>
      <c r="B22" s="77">
        <f>'PLANILHA ORÇAMENTÁRIA'!B21</f>
        <v>97663</v>
      </c>
      <c r="C22" s="72" t="str">
        <f>'PLANILHA ORÇAMENTÁRIA'!C21</f>
        <v>97663 REMOÇÃO DE LOUÇAS, DE FORMA MANUAL, SEM REAPROVEITAMENTO. AF_12/2017 UN C 10,06</v>
      </c>
      <c r="D22" s="73" t="s">
        <v>331</v>
      </c>
      <c r="E22" s="74">
        <f>'PLANILHA ORÇAMENTÁRIA'!E21</f>
        <v>3</v>
      </c>
      <c r="F22" s="76" t="str">
        <f>'PLANILHA ORÇAMENTÁRIA'!D21</f>
        <v>Und.</v>
      </c>
      <c r="G22" s="71"/>
      <c r="H22" s="18"/>
      <c r="I22" s="18"/>
      <c r="J22" s="18"/>
      <c r="K22" s="18"/>
      <c r="L22" s="18"/>
      <c r="M22" s="18"/>
    </row>
    <row r="23" spans="1:13" ht="27.75" thickBot="1" x14ac:dyDescent="0.25">
      <c r="A23" s="75" t="str">
        <f>'PLANILHA ORÇAMENTÁRIA'!A22</f>
        <v>2.10</v>
      </c>
      <c r="B23" s="77">
        <f>'PLANILHA ORÇAMENTÁRIA'!B22</f>
        <v>97622</v>
      </c>
      <c r="C23" s="72" t="str">
        <f>'PLANILHA ORÇAMENTÁRIA'!C22</f>
        <v>97622 DEMOLIÇÃO DE ALVENARIA DE BLOCO FURADO, DE FORMA MANUAL, SEM REAPROVEI M3 C 46,46
TAMENTO. AF_12/2017</v>
      </c>
      <c r="D23" s="73" t="s">
        <v>332</v>
      </c>
      <c r="E23" s="74">
        <f>'PLANILHA ORÇAMENTÁRIA'!E22</f>
        <v>0.72</v>
      </c>
      <c r="F23" s="76" t="str">
        <f>'PLANILHA ORÇAMENTÁRIA'!D22</f>
        <v>m²</v>
      </c>
      <c r="G23" s="71"/>
      <c r="H23" s="18"/>
      <c r="I23" s="18"/>
      <c r="J23" s="18"/>
      <c r="K23" s="18"/>
      <c r="L23" s="18"/>
      <c r="M23" s="18"/>
    </row>
    <row r="24" spans="1:13" ht="12.75" customHeight="1" x14ac:dyDescent="0.15">
      <c r="A24" s="180" t="str">
        <f>'PLANILHA ORÇAMENTÁRIA'!A23</f>
        <v>3.0</v>
      </c>
      <c r="B24" s="282" t="str">
        <f>'PLANILHA ORÇAMENTÁRIA'!C23</f>
        <v>ESQUADRIAS</v>
      </c>
      <c r="C24" s="283"/>
      <c r="D24" s="283"/>
      <c r="E24" s="283"/>
      <c r="F24" s="284"/>
      <c r="G24" s="17"/>
      <c r="H24" s="18"/>
      <c r="I24" s="18"/>
      <c r="J24" s="18"/>
      <c r="K24" s="18"/>
      <c r="L24" s="18"/>
      <c r="M24" s="18"/>
    </row>
    <row r="25" spans="1:13" ht="63" x14ac:dyDescent="0.15">
      <c r="A25" s="75" t="str">
        <f>'PLANILHA ORÇAMENTÁRIA'!A24</f>
        <v>3.1</v>
      </c>
      <c r="B25" s="77">
        <f>'PLANILHA ORÇAMENTÁRIA'!B24</f>
        <v>90844</v>
      </c>
      <c r="C25" s="72" t="str">
        <f>'PLANILHA ORÇAMENTÁRIA'!C24</f>
        <v>90844 KIT DE PORTA DE MADEIRA PARA PINTURA, SEMI-OCA (LEVE OU MÉDIA), PADRÃO UN CR 942,60
MÉDIO, 90X210CM, ESPESSURA DE 3,5CM, ITENS INCLUSOS: DOBRADIÇAS, MONT
AGEM E INSTALAÇÃO DO BATENTE, FECHADURA COM EXECUÇÃO DO FURO - FORNECI
MENTO E INSTALAÇÃO. AF_12/2019</v>
      </c>
      <c r="D25" s="73" t="s">
        <v>333</v>
      </c>
      <c r="E25" s="74">
        <f>'PLANILHA ORÇAMENTÁRIA'!E24</f>
        <v>1</v>
      </c>
      <c r="F25" s="76" t="str">
        <f>'PLANILHA ORÇAMENTÁRIA'!D24</f>
        <v>Und.</v>
      </c>
      <c r="G25" s="17"/>
      <c r="H25" s="18"/>
      <c r="I25" s="18"/>
      <c r="J25" s="18"/>
      <c r="K25" s="18"/>
      <c r="L25" s="18"/>
      <c r="M25" s="18"/>
    </row>
    <row r="26" spans="1:13" ht="63" x14ac:dyDescent="0.15">
      <c r="A26" s="75" t="str">
        <f>'PLANILHA ORÇAMENTÁRIA'!A25</f>
        <v>3.2</v>
      </c>
      <c r="B26" s="77">
        <f>'PLANILHA ORÇAMENTÁRIA'!B25</f>
        <v>90843</v>
      </c>
      <c r="C26" s="72" t="str">
        <f>'PLANILHA ORÇAMENTÁRIA'!C25</f>
        <v>90843 KIT DE PORTA DE MADEIRA PARA PINTURA, SEMI-OCA (LEVE OU MÉDIA), PADRÃO UN CR 868,35
MÉDIO, 80X210CM, ESPESSURA DE 3,5CM, ITENS INCLUSOS: DOBRADIÇAS, MONT
AGEM E INSTALAÇÃO DO BATENTE, FECHADURA COM EXECUÇÃO DO FURO - FORNECI
MENTO E INSTALAÇÃO. AF_12/2019</v>
      </c>
      <c r="D26" s="73" t="s">
        <v>333</v>
      </c>
      <c r="E26" s="74">
        <f>'PLANILHA ORÇAMENTÁRIA'!E25</f>
        <v>13</v>
      </c>
      <c r="F26" s="76" t="str">
        <f>'PLANILHA ORÇAMENTÁRIA'!D25</f>
        <v>Und.</v>
      </c>
      <c r="G26" s="17"/>
      <c r="H26" s="18"/>
      <c r="I26" s="18"/>
      <c r="J26" s="18"/>
      <c r="K26" s="18"/>
      <c r="L26" s="18"/>
      <c r="M26" s="18"/>
    </row>
    <row r="27" spans="1:13" ht="63" x14ac:dyDescent="0.15">
      <c r="A27" s="75" t="str">
        <f>'PLANILHA ORÇAMENTÁRIA'!A26</f>
        <v>3.3</v>
      </c>
      <c r="B27" s="77">
        <f>'PLANILHA ORÇAMENTÁRIA'!B26</f>
        <v>90842</v>
      </c>
      <c r="C27" s="72" t="str">
        <f>'PLANILHA ORÇAMENTÁRIA'!C26</f>
        <v>90842 KIT DE PORTA DE MADEIRA PARA PINTURA, SEMI-OCA (LEVE OU MÉDIA), PADRÃO UN CR 825,45
MÉDIO, 70X210CM, ESPESSURA DE 3,5CM, ITENS INCLUSOS: DOBRADIÇAS, MONT
AGEM E INSTALAÇÃO DO BATENTE, FECHADURA COM EXECUÇÃO DO FURO - FORNECI
MENTO E INSTALAÇÃO. AF_12/2019</v>
      </c>
      <c r="D27" s="73" t="s">
        <v>333</v>
      </c>
      <c r="E27" s="74">
        <f>'PLANILHA ORÇAMENTÁRIA'!E26</f>
        <v>1</v>
      </c>
      <c r="F27" s="76" t="str">
        <f>'PLANILHA ORÇAMENTÁRIA'!D26</f>
        <v>Und.</v>
      </c>
      <c r="G27" s="17"/>
      <c r="H27" s="18"/>
      <c r="I27" s="18"/>
      <c r="J27" s="18"/>
      <c r="K27" s="18"/>
      <c r="L27" s="18"/>
      <c r="M27" s="18"/>
    </row>
    <row r="28" spans="1:13" ht="63" x14ac:dyDescent="0.15">
      <c r="A28" s="75" t="str">
        <f>'PLANILHA ORÇAMENTÁRIA'!A27</f>
        <v>3.4</v>
      </c>
      <c r="B28" s="77">
        <f>'PLANILHA ORÇAMENTÁRIA'!B27</f>
        <v>90841</v>
      </c>
      <c r="C28" s="72" t="str">
        <f>'PLANILHA ORÇAMENTÁRIA'!C27</f>
        <v>90841 KIT DE PORTA DE MADEIRA PARA PINTURA, SEMI-OCA (LEVE OU MÉDIA), PADRÃO UN CR 818,26
MÉDIO, 60X210CM, ESPESSURA DE 3,5CM, ITENS INCLUSOS: DOBRADIÇAS, MONT
AGEM E INSTALAÇÃO DO BATENTE, FECHADURA COM EXECUÇÃO DO FURO - FORNECI
MENTO E INSTALAÇÃO. AF_12/2019</v>
      </c>
      <c r="D28" s="73" t="s">
        <v>333</v>
      </c>
      <c r="E28" s="74">
        <f>'PLANILHA ORÇAMENTÁRIA'!E27</f>
        <v>2</v>
      </c>
      <c r="F28" s="76" t="str">
        <f>'PLANILHA ORÇAMENTÁRIA'!D27</f>
        <v>Und.</v>
      </c>
      <c r="G28" s="17"/>
      <c r="H28" s="18"/>
      <c r="I28" s="18"/>
      <c r="J28" s="18"/>
      <c r="K28" s="18"/>
      <c r="L28" s="18"/>
      <c r="M28" s="18"/>
    </row>
    <row r="29" spans="1:13" ht="18.75" thickBot="1" x14ac:dyDescent="0.2">
      <c r="A29" s="75" t="str">
        <f>'PLANILHA ORÇAMENTÁRIA'!A28</f>
        <v>3.5</v>
      </c>
      <c r="B29" s="77" t="str">
        <f>'PLANILHA ORÇAMENTÁRIA'!B28</f>
        <v>COMPOSIÇÃO IV</v>
      </c>
      <c r="C29" s="72" t="str">
        <f>'PLANILHA ORÇAMENTÁRIA'!C28</f>
        <v>JANELA EM VIDRO TEMPERADO 8 MM, DE CORRER COM ESTRUTURA EM ALUMÍNIO</v>
      </c>
      <c r="D29" s="73" t="s">
        <v>334</v>
      </c>
      <c r="E29" s="74">
        <f>'PLANILHA ORÇAMENTÁRIA'!E28</f>
        <v>0.72</v>
      </c>
      <c r="F29" s="76" t="str">
        <f>'PLANILHA ORÇAMENTÁRIA'!D28</f>
        <v>m²</v>
      </c>
      <c r="G29" s="17"/>
      <c r="H29" s="18"/>
      <c r="I29" s="18"/>
      <c r="J29" s="18"/>
      <c r="K29" s="18"/>
      <c r="L29" s="18"/>
      <c r="M29" s="18"/>
    </row>
    <row r="30" spans="1:13" x14ac:dyDescent="0.15">
      <c r="A30" s="180" t="str">
        <f>'PLANILHA ORÇAMENTÁRIA'!A29</f>
        <v>4.0</v>
      </c>
      <c r="B30" s="282" t="str">
        <f>'PLANILHA ORÇAMENTÁRIA'!C29</f>
        <v>ALMABRADO E PORTÃO</v>
      </c>
      <c r="C30" s="283"/>
      <c r="D30" s="283"/>
      <c r="E30" s="283"/>
      <c r="F30" s="284"/>
      <c r="G30" s="17"/>
      <c r="H30" s="18"/>
      <c r="I30" s="18"/>
      <c r="J30" s="18"/>
      <c r="K30" s="18"/>
      <c r="L30" s="18"/>
      <c r="M30" s="18"/>
    </row>
    <row r="31" spans="1:13" ht="27" x14ac:dyDescent="0.15">
      <c r="A31" s="75" t="str">
        <f>'PLANILHA ORÇAMENTÁRIA'!A30</f>
        <v>4.1</v>
      </c>
      <c r="B31" s="77">
        <f>'PLANILHA ORÇAMENTÁRIA'!B30</f>
        <v>98522</v>
      </c>
      <c r="C31" s="72" t="str">
        <f>'PLANILHA ORÇAMENTÁRIA'!C30</f>
        <v>98522 ALAMBRADO EM MOURÕES DE CONCRETO, COM TELA DE ARAME GALVANIZADO (INCLU M CR 154,89
SIVE MURETA EM CONCRETO). AF_05/2018</v>
      </c>
      <c r="D31" s="73" t="s">
        <v>191</v>
      </c>
      <c r="E31" s="74">
        <f>'PLANILHA ORÇAMENTÁRIA'!E30</f>
        <v>400</v>
      </c>
      <c r="F31" s="76" t="str">
        <f>'PLANILHA ORÇAMENTÁRIA'!D30</f>
        <v>m</v>
      </c>
      <c r="G31" s="17"/>
      <c r="H31" s="18"/>
      <c r="I31" s="18"/>
      <c r="J31" s="18"/>
      <c r="K31" s="18"/>
      <c r="L31" s="18"/>
      <c r="M31" s="18"/>
    </row>
    <row r="32" spans="1:13" ht="18.75" thickBot="1" x14ac:dyDescent="0.2">
      <c r="A32" s="75" t="str">
        <f>'PLANILHA ORÇAMENTÁRIA'!A31</f>
        <v>4.2</v>
      </c>
      <c r="B32" s="77" t="str">
        <f>'PLANILHA ORÇAMENTÁRIA'!B31</f>
        <v>COMPOSIÇÃO V</v>
      </c>
      <c r="C32" s="72" t="str">
        <f>'PLANILHA ORÇAMENTÁRIA'!C31</f>
        <v>PORTÃO EM TUBO DE AÇO GALVANIZADO COM QUADRO DE DN 1 1/4", E BARRAS VERTICAIS DE DN 1" A CADA 10CM</v>
      </c>
      <c r="D32" s="73" t="s">
        <v>192</v>
      </c>
      <c r="E32" s="74">
        <f>'PLANILHA ORÇAMENTÁRIA'!E31</f>
        <v>7</v>
      </c>
      <c r="F32" s="76" t="str">
        <f>'PLANILHA ORÇAMENTÁRIA'!D31</f>
        <v>m²</v>
      </c>
      <c r="G32" s="17"/>
      <c r="H32" s="18"/>
      <c r="I32" s="18"/>
      <c r="J32" s="18"/>
      <c r="K32" s="18"/>
      <c r="L32" s="18"/>
      <c r="M32" s="18"/>
    </row>
    <row r="33" spans="1:6" ht="12.75" customHeight="1" thickBot="1" x14ac:dyDescent="0.25">
      <c r="A33" s="180" t="str">
        <f>'PLANILHA ORÇAMENTÁRIA'!A32</f>
        <v>5.0</v>
      </c>
      <c r="B33" s="282" t="str">
        <f>'PLANILHA ORÇAMENTÁRIA'!C32</f>
        <v>PINTURAS</v>
      </c>
      <c r="C33" s="283"/>
      <c r="D33" s="283"/>
      <c r="E33" s="283"/>
      <c r="F33" s="284"/>
    </row>
    <row r="34" spans="1:6" x14ac:dyDescent="0.2">
      <c r="A34" s="207"/>
      <c r="B34" s="317" t="str">
        <f>'PLANILHA ORÇAMENTÁRIA'!C33</f>
        <v>CALÇAMENTO INTENRO E EXTERNO</v>
      </c>
      <c r="C34" s="318"/>
      <c r="D34" s="318"/>
      <c r="E34" s="318"/>
      <c r="F34" s="319"/>
    </row>
    <row r="35" spans="1:6" ht="27.75" thickBot="1" x14ac:dyDescent="0.25">
      <c r="A35" s="75" t="str">
        <f>'PLANILHA ORÇAMENTÁRIA'!A34</f>
        <v>5.1</v>
      </c>
      <c r="B35" s="77">
        <f>'PLANILHA ORÇAMENTÁRIA'!B34</f>
        <v>102491</v>
      </c>
      <c r="C35" s="72" t="str">
        <f>'PLANILHA ORÇAMENTÁRIA'!C34</f>
        <v>102491 PINTURA DE PISO COM TINTA ACRÍLICA, APLICAÇÃO MANUAL, 2 DEMÃOS, INCLUS M2 CR 16,39
O FUNDO PREPARADOR. AF_05/2021</v>
      </c>
      <c r="D35" s="73" t="s">
        <v>335</v>
      </c>
      <c r="E35" s="74">
        <f>'PLANILHA ORÇAMENTÁRIA'!E34</f>
        <v>267.58000000000004</v>
      </c>
      <c r="F35" s="76" t="str">
        <f>'PLANILHA ORÇAMENTÁRIA'!D34</f>
        <v>m²</v>
      </c>
    </row>
    <row r="36" spans="1:6" ht="12.75" customHeight="1" x14ac:dyDescent="0.2">
      <c r="A36" s="207"/>
      <c r="B36" s="317" t="str">
        <f>'PLANILHA ORÇAMENTÁRIA'!C35</f>
        <v>PAREDES INTERNAS EXTERNAS</v>
      </c>
      <c r="C36" s="318"/>
      <c r="D36" s="318"/>
      <c r="E36" s="318"/>
      <c r="F36" s="319"/>
    </row>
    <row r="37" spans="1:6" ht="18" x14ac:dyDescent="0.2">
      <c r="A37" s="75" t="str">
        <f>'PLANILHA ORÇAMENTÁRIA'!A36</f>
        <v>5.2</v>
      </c>
      <c r="B37" s="77">
        <f>'PLANILHA ORÇAMENTÁRIA'!B36</f>
        <v>95305</v>
      </c>
      <c r="C37" s="72" t="str">
        <f>'PLANILHA ORÇAMENTÁRIA'!C36</f>
        <v>95305 TEXTURA ACRÍLICA, APLICAÇÃO MANUAL EM PAREDE, UMA DEMÃO. AF_09/2016 M2 CR 12,33</v>
      </c>
      <c r="D37" s="73" t="s">
        <v>335</v>
      </c>
      <c r="E37" s="74">
        <f>'PLANILHA ORÇAMENTÁRIA'!E36</f>
        <v>1511.9199999999998</v>
      </c>
      <c r="F37" s="76" t="str">
        <f>'PLANILHA ORÇAMENTÁRIA'!D36</f>
        <v>m²</v>
      </c>
    </row>
    <row r="38" spans="1:6" ht="27.75" thickBot="1" x14ac:dyDescent="0.25">
      <c r="A38" s="75" t="str">
        <f>'PLANILHA ORÇAMENTÁRIA'!A37</f>
        <v>5.3</v>
      </c>
      <c r="B38" s="77">
        <f>'PLANILHA ORÇAMENTÁRIA'!B37</f>
        <v>88489</v>
      </c>
      <c r="C38" s="72" t="str">
        <f>'PLANILHA ORÇAMENTÁRIA'!C37</f>
        <v>88489 APLICAÇÃO MANUAL DE PINTURA COM TINTA LÁTEX ACRÍLICA EM PAREDES, DUAS M2 C 13,72
DEMÃOS. AF_06/2014</v>
      </c>
      <c r="D38" s="73" t="s">
        <v>335</v>
      </c>
      <c r="E38" s="74">
        <f>'PLANILHA ORÇAMENTÁRIA'!E37</f>
        <v>1511.9199999999998</v>
      </c>
      <c r="F38" s="76" t="str">
        <f>'PLANILHA ORÇAMENTÁRIA'!D37</f>
        <v>m²</v>
      </c>
    </row>
    <row r="39" spans="1:6" x14ac:dyDescent="0.2">
      <c r="A39" s="207"/>
      <c r="B39" s="317" t="str">
        <f>'PLANILHA ORÇAMENTÁRIA'!C38</f>
        <v>ESQUADRIAS</v>
      </c>
      <c r="C39" s="318"/>
      <c r="D39" s="318"/>
      <c r="E39" s="318"/>
      <c r="F39" s="319"/>
    </row>
    <row r="40" spans="1:6" ht="18.75" thickBot="1" x14ac:dyDescent="0.25">
      <c r="A40" s="75" t="str">
        <f>'PLANILHA ORÇAMENTÁRIA'!A39</f>
        <v>5.4</v>
      </c>
      <c r="B40" s="77">
        <f>'PLANILHA ORÇAMENTÁRIA'!B39</f>
        <v>102218</v>
      </c>
      <c r="C40" s="72" t="str">
        <f>'PLANILHA ORÇAMENTÁRIA'!C39</f>
        <v>PINTURA TINTA DE ACABAMENTO (PIGMENTADA) ESMALTE SINTÉTICO FOSCO EM MADEIRA, 2 DEMÃOS.</v>
      </c>
      <c r="D40" s="73" t="s">
        <v>336</v>
      </c>
      <c r="E40" s="74">
        <f>'PLANILHA ORÇAMENTÁRIA'!E39</f>
        <v>55.440000000000005</v>
      </c>
      <c r="F40" s="76" t="str">
        <f>'PLANILHA ORÇAMENTÁRIA'!D39</f>
        <v>m²</v>
      </c>
    </row>
    <row r="41" spans="1:6" x14ac:dyDescent="0.2">
      <c r="A41" s="207"/>
      <c r="B41" s="317" t="str">
        <f>'PLANILHA ORÇAMENTÁRIA'!C40</f>
        <v xml:space="preserve">ESTRUTURAS METÁLICAS </v>
      </c>
      <c r="C41" s="318"/>
      <c r="D41" s="318"/>
      <c r="E41" s="318"/>
      <c r="F41" s="319"/>
    </row>
    <row r="42" spans="1:6" ht="27.75" thickBot="1" x14ac:dyDescent="0.25">
      <c r="A42" s="75" t="str">
        <f>'PLANILHA ORÇAMENTÁRIA'!A41</f>
        <v>5.5</v>
      </c>
      <c r="B42" s="77">
        <f>'PLANILHA ORÇAMENTÁRIA'!B41</f>
        <v>100753</v>
      </c>
      <c r="C42" s="72" t="str">
        <f>'PLANILHA ORÇAMENTÁRIA'!C41</f>
        <v xml:space="preserve">PINTURA COM TINTA ACRÍLICA DE ACABAMENTO PULVERIZADA SOBRE SUPERFÍCIES METÁLICAS (EXCETO PERFIL) EXECUTADO EM OBRA (02 DEMÃOS). </v>
      </c>
      <c r="D42" s="73" t="s">
        <v>337</v>
      </c>
      <c r="E42" s="74">
        <f>'PLANILHA ORÇAMENTÁRIA'!E41</f>
        <v>27.770000000000003</v>
      </c>
      <c r="F42" s="76" t="str">
        <f>'PLANILHA ORÇAMENTÁRIA'!D41</f>
        <v>m²</v>
      </c>
    </row>
    <row r="43" spans="1:6" ht="12.75" customHeight="1" x14ac:dyDescent="0.2">
      <c r="A43" s="180" t="str">
        <f>'PLANILHA ORÇAMENTÁRIA'!A42</f>
        <v>6.0</v>
      </c>
      <c r="B43" s="282" t="str">
        <f>'PLANILHA ORÇAMENTÁRIA'!C42</f>
        <v xml:space="preserve">PISOS E CALÇAMENTOS </v>
      </c>
      <c r="C43" s="283"/>
      <c r="D43" s="283"/>
      <c r="E43" s="283"/>
      <c r="F43" s="284"/>
    </row>
    <row r="44" spans="1:6" ht="45" x14ac:dyDescent="0.2">
      <c r="A44" s="75" t="str">
        <f>'PLANILHA ORÇAMENTÁRIA'!A43</f>
        <v>6.1</v>
      </c>
      <c r="B44" s="77">
        <f>'PLANILHA ORÇAMENTÁRIA'!B43</f>
        <v>87262</v>
      </c>
      <c r="C44" s="72" t="str">
        <f>'PLANILHA ORÇAMENTÁRIA'!C43</f>
        <v>87262 REVESTIMENTO CERÂMICO PARA PISO COM PLACAS TIPO PORCELANATO DE DIMENSÕ M2 CR 152,43
ES 60X60 CM APLICADA EM AMBIENTES DE ÁREA ENTRE 5 M² E 10 M². AF_06/20
14</v>
      </c>
      <c r="D44" s="73" t="s">
        <v>338</v>
      </c>
      <c r="E44" s="74">
        <f>'PLANILHA ORÇAMENTÁRIA'!E43</f>
        <v>801.76</v>
      </c>
      <c r="F44" s="76" t="str">
        <f>'PLANILHA ORÇAMENTÁRIA'!D43</f>
        <v>M²</v>
      </c>
    </row>
    <row r="45" spans="1:6" ht="45" x14ac:dyDescent="0.2">
      <c r="A45" s="75" t="str">
        <f>'PLANILHA ORÇAMENTÁRIA'!A44</f>
        <v>6.2</v>
      </c>
      <c r="B45" s="77">
        <f>'PLANILHA ORÇAMENTÁRIA'!B44</f>
        <v>94994</v>
      </c>
      <c r="C45" s="72" t="str">
        <f>'PLANILHA ORÇAMENTÁRIA'!C44</f>
        <v>94994 EXECUÇÃO DE PASSEIO (CALÇADA) OU PISO DE CONCRETO COM CONCRETO MOLDADO M2 CR 114,90
IN LOCO, FEITO EM OBRA, ACABAMENTO CONVENCIONAL, ESPESSURA 8 CM, ARMA
DO. AF_07/2016</v>
      </c>
      <c r="D45" s="73" t="s">
        <v>194</v>
      </c>
      <c r="E45" s="74">
        <f>'PLANILHA ORÇAMENTÁRIA'!E44</f>
        <v>70</v>
      </c>
      <c r="F45" s="76" t="str">
        <f>'PLANILHA ORÇAMENTÁRIA'!D44</f>
        <v>M²</v>
      </c>
    </row>
    <row r="46" spans="1:6" ht="49.5" customHeight="1" thickBot="1" x14ac:dyDescent="0.25">
      <c r="A46" s="75" t="str">
        <f>'PLANILHA ORÇAMENTÁRIA'!A45</f>
        <v>6.3</v>
      </c>
      <c r="B46" s="77">
        <f>'PLANILHA ORÇAMENTÁRIA'!B45</f>
        <v>97084</v>
      </c>
      <c r="C46" s="72" t="str">
        <f>'PLANILHA ORÇAMENTÁRIA'!C45</f>
        <v>97084 COMPACTAÇÃO MECÂNICA DE SOLO PARA EXECUÇÃO DE RADIER, PISO DE CONCRETO M2 AS 0,58
OU LAJE SOBRE SOLO, COM COMPACTADOR DE SOLOS TIPO PLACA VIBRATÓRIA. A
F_09/2021</v>
      </c>
      <c r="D46" s="73" t="s">
        <v>339</v>
      </c>
      <c r="E46" s="74">
        <f>'PLANILHA ORÇAMENTÁRIA'!E45</f>
        <v>70</v>
      </c>
      <c r="F46" s="76" t="str">
        <f>'PLANILHA ORÇAMENTÁRIA'!D45</f>
        <v>M²</v>
      </c>
    </row>
    <row r="47" spans="1:6" ht="12.75" customHeight="1" x14ac:dyDescent="0.2">
      <c r="A47" s="180" t="str">
        <f>'PLANILHA ORÇAMENTÁRIA'!A46</f>
        <v>7.0</v>
      </c>
      <c r="B47" s="282" t="str">
        <f>'PLANILHA ORÇAMENTÁRIA'!C46</f>
        <v xml:space="preserve">COBERTURA </v>
      </c>
      <c r="C47" s="283"/>
      <c r="D47" s="283"/>
      <c r="E47" s="283"/>
      <c r="F47" s="284"/>
    </row>
    <row r="48" spans="1:6" ht="27" x14ac:dyDescent="0.2">
      <c r="A48" s="75" t="str">
        <f>'PLANILHA ORÇAMENTÁRIA'!A47</f>
        <v>7.1</v>
      </c>
      <c r="B48" s="77">
        <f>'PLANILHA ORÇAMENTÁRIA'!B47</f>
        <v>94218</v>
      </c>
      <c r="C48" s="72" t="str">
        <f>'PLANILHA ORÇAMENTÁRIA'!C47</f>
        <v>94218 TELHAMENTO COM TELHA ESTRUTURAL DE FIBROCIMENTO E= 8 MM, COM ATÉ 2 ÁGU M2 CR 129,39
AS, INCLUSO IÇAMENTO. AF_07/2019_P</v>
      </c>
      <c r="D48" s="73" t="s">
        <v>193</v>
      </c>
      <c r="E48" s="74">
        <f>'PLANILHA ORÇAMENTÁRIA'!E47</f>
        <v>934.83</v>
      </c>
      <c r="F48" s="76" t="str">
        <f>'PLANILHA ORÇAMENTÁRIA'!D47</f>
        <v>m²</v>
      </c>
    </row>
    <row r="49" spans="1:6" ht="27" x14ac:dyDescent="0.2">
      <c r="A49" s="75" t="str">
        <f>'PLANILHA ORÇAMENTÁRIA'!A48</f>
        <v>7.2</v>
      </c>
      <c r="B49" s="77">
        <f>'PLANILHA ORÇAMENTÁRIA'!B48</f>
        <v>94541</v>
      </c>
      <c r="C49" s="72" t="str">
        <f>'PLANILHA ORÇAMENTÁRIA'!C48</f>
        <v>94451 CUMEEIRA PARA TELHA DE FIBROCIMENTO ESTRUTURAL E = 6 MM, INCLUSO ACESS M CR 95,42
ÓRIOS DE FIXAÇÃO E IÇAMENTO. AF_07/2019</v>
      </c>
      <c r="D49" s="73" t="s">
        <v>193</v>
      </c>
      <c r="E49" s="74">
        <f>'PLANILHA ORÇAMENTÁRIA'!E48</f>
        <v>82</v>
      </c>
      <c r="F49" s="76" t="str">
        <f>'PLANILHA ORÇAMENTÁRIA'!D48</f>
        <v>m</v>
      </c>
    </row>
    <row r="50" spans="1:6" ht="45" x14ac:dyDescent="0.2">
      <c r="A50" s="75" t="str">
        <f>'PLANILHA ORÇAMENTÁRIA'!A49</f>
        <v>7.3</v>
      </c>
      <c r="B50" s="77">
        <f>'PLANILHA ORÇAMENTÁRIA'!B49</f>
        <v>100358</v>
      </c>
      <c r="C50" s="72" t="str">
        <f>'PLANILHA ORÇAMENTÁRIA'!C49</f>
        <v>100358 FABRICAÇÃO E INSTALAÇÃO DE MEIA TESOURA DE MADEIRA NÃO APARELHADA, COM UN AS 1.243,66
VÃO DE 4 M, PARA TELHA CERÂMICA OU DE CONCRETO, INCLUSO IÇAMENTO. AF_
07/2019</v>
      </c>
      <c r="D50" s="73" t="s">
        <v>193</v>
      </c>
      <c r="E50" s="74">
        <f>'PLANILHA ORÇAMENTÁRIA'!E49</f>
        <v>2</v>
      </c>
      <c r="F50" s="76" t="str">
        <f>'PLANILHA ORÇAMENTÁRIA'!D49</f>
        <v>Und.</v>
      </c>
    </row>
    <row r="51" spans="1:6" ht="45" x14ac:dyDescent="0.2">
      <c r="A51" s="75" t="str">
        <f>'PLANILHA ORÇAMENTÁRIA'!A50</f>
        <v>7.4</v>
      </c>
      <c r="B51" s="77">
        <f>'PLANILHA ORÇAMENTÁRIA'!B50</f>
        <v>100359</v>
      </c>
      <c r="C51" s="72" t="str">
        <f>'PLANILHA ORÇAMENTÁRIA'!C50</f>
        <v>100359 FABRICAÇÃO E INSTALAÇÃO DE MEIA TESOURA DE MADEIRA NÃO APARELHADA, COM UN AS 1.309,54
VÃO DE 5 M, PARA TELHA CERÂMICA OU DE CONCRETO, INCLUSO IÇAMENTO. AF_
07/2019</v>
      </c>
      <c r="D51" s="73" t="s">
        <v>193</v>
      </c>
      <c r="E51" s="74">
        <f>'PLANILHA ORÇAMENTÁRIA'!E50</f>
        <v>2</v>
      </c>
      <c r="F51" s="76" t="str">
        <f>'PLANILHA ORÇAMENTÁRIA'!D50</f>
        <v>Und.</v>
      </c>
    </row>
    <row r="52" spans="1:6" ht="45" x14ac:dyDescent="0.2">
      <c r="A52" s="75" t="str">
        <f>'PLANILHA ORÇAMENTÁRIA'!A51</f>
        <v>7.5</v>
      </c>
      <c r="B52" s="77">
        <f>'PLANILHA ORÇAMENTÁRIA'!B51</f>
        <v>100361</v>
      </c>
      <c r="C52" s="72" t="str">
        <f>'PLANILHA ORÇAMENTÁRIA'!C51</f>
        <v>100361 FABRICAÇÃO E INSTALAÇÃO DE MEIA TESOURA DE MADEIRA NÃO APARELHADA, COM UN AS 1.798,43
VÃO DE 7 M, PARA TELHA CERÂMICA OU DE CONCRETO, INCLUSO IÇAMENTO. AF_
07/2019</v>
      </c>
      <c r="D52" s="73" t="s">
        <v>193</v>
      </c>
      <c r="E52" s="74">
        <f>'PLANILHA ORÇAMENTÁRIA'!E51</f>
        <v>2</v>
      </c>
      <c r="F52" s="76" t="str">
        <f>'PLANILHA ORÇAMENTÁRIA'!D51</f>
        <v>Und.</v>
      </c>
    </row>
    <row r="53" spans="1:6" ht="45" x14ac:dyDescent="0.2">
      <c r="A53" s="75" t="str">
        <f>'PLANILHA ORÇAMENTÁRIA'!A52</f>
        <v>7.6</v>
      </c>
      <c r="B53" s="77">
        <f>'PLANILHA ORÇAMENTÁRIA'!B52</f>
        <v>92560</v>
      </c>
      <c r="C53" s="72" t="str">
        <f>'PLANILHA ORÇAMENTÁRIA'!C52</f>
        <v>92560 FABRICAÇÃO E INSTALAÇÃO DE TESOURA INTEIRA EM MADEIRA NÃO APARELHADA, UN AS 2.006,99
VÃO DE 8 M, PARA TELHA ONDULADA DE FIBROCIMENTO, METÁLICA, PLÁSTICA OU
TERMOACÚSTICA, INCLUSO IÇAMENTO. AF_07/2019</v>
      </c>
      <c r="D53" s="73" t="s">
        <v>193</v>
      </c>
      <c r="E53" s="74">
        <f>'PLANILHA ORÇAMENTÁRIA'!E52</f>
        <v>1</v>
      </c>
      <c r="F53" s="76" t="str">
        <f>'PLANILHA ORÇAMENTÁRIA'!D52</f>
        <v>Und.</v>
      </c>
    </row>
    <row r="54" spans="1:6" ht="45" x14ac:dyDescent="0.2">
      <c r="A54" s="75" t="str">
        <f>'PLANILHA ORÇAMENTÁRIA'!A53</f>
        <v>7.7</v>
      </c>
      <c r="B54" s="77">
        <f>'PLANILHA ORÇAMENTÁRIA'!B53</f>
        <v>100365</v>
      </c>
      <c r="C54" s="72" t="str">
        <f>'PLANILHA ORÇAMENTÁRIA'!C53</f>
        <v>92563 FABRICAÇÃO E INSTALAÇÃO DE TESOURA INTEIRA EM MADEIRA NÃO APARELHADA, UN AS 2.565,32
VÃO DE 11 M, PARA TELHA ONDULADA DE FIBROCIMENTO, METÁLICA, PLÁSTICA O
U TERMOACÚSTICA, INCLUSO IÇAMENTO. AF_07/2019</v>
      </c>
      <c r="D54" s="73" t="s">
        <v>193</v>
      </c>
      <c r="E54" s="74">
        <f>'PLANILHA ORÇAMENTÁRIA'!E53</f>
        <v>22</v>
      </c>
      <c r="F54" s="76" t="str">
        <f>'PLANILHA ORÇAMENTÁRIA'!D53</f>
        <v>Und.</v>
      </c>
    </row>
    <row r="55" spans="1:6" ht="45" x14ac:dyDescent="0.2">
      <c r="A55" s="75" t="str">
        <f>'PLANILHA ORÇAMENTÁRIA'!A54</f>
        <v>7.8</v>
      </c>
      <c r="B55" s="77">
        <f>'PLANILHA ORÇAMENTÁRIA'!B54</f>
        <v>92564</v>
      </c>
      <c r="C55" s="72" t="str">
        <f>'PLANILHA ORÇAMENTÁRIA'!C54</f>
        <v>92564 FABRICAÇÃO E INSTALAÇÃO DE TESOURA INTEIRA EM MADEIRA NÃO APARELHADA, UN AS 2.646,83
VÃO DE 12 M, PARA TELHA ONDULADA DE FIBROCIMENTO, METÁLICA, PLÁSTICA O
U TERMOACÚSTICA, INCLUSO IÇAMENTO. AF_07/2019</v>
      </c>
      <c r="D55" s="73" t="s">
        <v>193</v>
      </c>
      <c r="E55" s="74">
        <f>'PLANILHA ORÇAMENTÁRIA'!E54</f>
        <v>2</v>
      </c>
      <c r="F55" s="76" t="str">
        <f>'PLANILHA ORÇAMENTÁRIA'!D54</f>
        <v>Und.</v>
      </c>
    </row>
    <row r="56" spans="1:6" ht="45.75" thickBot="1" x14ac:dyDescent="0.25">
      <c r="A56" s="75" t="str">
        <f>'PLANILHA ORÇAMENTÁRIA'!A55</f>
        <v>7.9</v>
      </c>
      <c r="B56" s="77">
        <f>'PLANILHA ORÇAMENTÁRIA'!B55</f>
        <v>92543</v>
      </c>
      <c r="C56" s="72" t="str">
        <f>'PLANILHA ORÇAMENTÁRIA'!C55</f>
        <v>92543 TRAMA DE MADEIRA COMPOSTA POR TERÇAS PARA TELHADOS DE ATÉ 2 ÁGUAS PARA M2 CR 20,24
TELHA ONDULADA DE FIBROCIMENTO, METÁLICA, PLÁSTICA OU TERMOACÚSTICA,
INCLUSO TRANSPORTE VERTICAL. AF_07/2019</v>
      </c>
      <c r="D56" s="73" t="s">
        <v>193</v>
      </c>
      <c r="E56" s="74">
        <f>'PLANILHA ORÇAMENTÁRIA'!E55</f>
        <v>934.83</v>
      </c>
      <c r="F56" s="76" t="str">
        <f>'PLANILHA ORÇAMENTÁRIA'!D55</f>
        <v>m²</v>
      </c>
    </row>
    <row r="57" spans="1:6" x14ac:dyDescent="0.2">
      <c r="A57" s="180" t="str">
        <f>'PLANILHA ORÇAMENTÁRIA'!A56</f>
        <v>8.0</v>
      </c>
      <c r="B57" s="282" t="str">
        <f>'PLANILHA ORÇAMENTÁRIA'!C56</f>
        <v>FORRAMENTO</v>
      </c>
      <c r="C57" s="283"/>
      <c r="D57" s="283"/>
      <c r="E57" s="283"/>
      <c r="F57" s="284"/>
    </row>
    <row r="58" spans="1:6" ht="27.75" thickBot="1" x14ac:dyDescent="0.25">
      <c r="A58" s="75" t="str">
        <f>'PLANILHA ORÇAMENTÁRIA'!A57</f>
        <v>8.1</v>
      </c>
      <c r="B58" s="77">
        <f>'PLANILHA ORÇAMENTÁRIA'!B57</f>
        <v>96116</v>
      </c>
      <c r="C58" s="72" t="str">
        <f>'PLANILHA ORÇAMENTÁRIA'!C57</f>
        <v>96116 FORRO EM RÉGUAS DE PVC, FRISADO, PARA AMBIENTES COMERCIAIS, INCLUSIVE M2 AS 79,57
ESTRUTURA DE FIXAÇÃO. AF_05/2017_P</v>
      </c>
      <c r="D58" s="73" t="s">
        <v>330</v>
      </c>
      <c r="E58" s="74">
        <f>'PLANILHA ORÇAMENTÁRIA'!E57</f>
        <v>280.44900000000001</v>
      </c>
      <c r="F58" s="76" t="str">
        <f>'PLANILHA ORÇAMENTÁRIA'!D57</f>
        <v>m²</v>
      </c>
    </row>
    <row r="59" spans="1:6" x14ac:dyDescent="0.2">
      <c r="A59" s="180" t="str">
        <f>'PLANILHA ORÇAMENTÁRIA'!A58</f>
        <v>9.0</v>
      </c>
      <c r="B59" s="282" t="str">
        <f>'PLANILHA ORÇAMENTÁRIA'!C58</f>
        <v xml:space="preserve">INSTALAÇÕES SANITÁRIAS </v>
      </c>
      <c r="C59" s="283"/>
      <c r="D59" s="283"/>
      <c r="E59" s="283"/>
      <c r="F59" s="284"/>
    </row>
    <row r="60" spans="1:6" ht="36" x14ac:dyDescent="0.2">
      <c r="A60" s="75" t="str">
        <f>'PLANILHA ORÇAMENTÁRIA'!A59</f>
        <v>9.1</v>
      </c>
      <c r="B60" s="77">
        <f>'PLANILHA ORÇAMENTÁRIA'!B59</f>
        <v>95471</v>
      </c>
      <c r="C60" s="72" t="str">
        <f>'PLANILHA ORÇAMENTÁRIA'!C59</f>
        <v>95471 VASO SANITARIO SIFONADO CONVENCIONAL PARA PCD SEM FURO FRONTAL COM LO UN AS 710,69
UÇA BRANCA SEM ASSENTO - FORNECIMENTO E INSTALAÇÃO. AF_01/2020</v>
      </c>
      <c r="D60" s="73" t="s">
        <v>340</v>
      </c>
      <c r="E60" s="74">
        <f>'PLANILHA ORÇAMENTÁRIA'!E59</f>
        <v>1</v>
      </c>
      <c r="F60" s="76" t="str">
        <f>'PLANILHA ORÇAMENTÁRIA'!D59</f>
        <v>Und.</v>
      </c>
    </row>
    <row r="61" spans="1:6" ht="27" x14ac:dyDescent="0.2">
      <c r="A61" s="75" t="str">
        <f>'PLANILHA ORÇAMENTÁRIA'!A60</f>
        <v>9.2</v>
      </c>
      <c r="B61" s="77">
        <f>'PLANILHA ORÇAMENTÁRIA'!B60</f>
        <v>96469</v>
      </c>
      <c r="C61" s="72" t="str">
        <f>'PLANILHA ORÇAMENTÁRIA'!C60</f>
        <v>95469 VASO SANITARIO SIFONADO CONVENCIONAL COM LOUÇA BRANCA - FORNECIMENTO UN AS 279,41
E INSTALAÇÃO. AF_01/2020</v>
      </c>
      <c r="D61" s="73" t="s">
        <v>340</v>
      </c>
      <c r="E61" s="74">
        <f>'PLANILHA ORÇAMENTÁRIA'!E60</f>
        <v>2</v>
      </c>
      <c r="F61" s="76" t="str">
        <f>'PLANILHA ORÇAMENTÁRIA'!D60</f>
        <v>Und.</v>
      </c>
    </row>
    <row r="62" spans="1:6" ht="27.75" thickBot="1" x14ac:dyDescent="0.25">
      <c r="A62" s="217" t="str">
        <f>'PLANILHA ORÇAMENTÁRIA'!A61</f>
        <v>9.3</v>
      </c>
      <c r="B62" s="218">
        <f>'PLANILHA ORÇAMENTÁRIA'!B61</f>
        <v>103018</v>
      </c>
      <c r="C62" s="219" t="str">
        <f>'PLANILHA ORÇAMENTÁRIA'!C61</f>
        <v>103018 VÁLVULA DE DESCARGA METÁLICA, BASE 1 1/4", ACABAMENTO METALICO CROMADO UN CR 177,16
- FORNECIMENTO E INSTALAÇÃO. AF_08/2021</v>
      </c>
      <c r="D62" s="220" t="s">
        <v>341</v>
      </c>
      <c r="E62" s="221">
        <f>'PLANILHA ORÇAMENTÁRIA'!E61</f>
        <v>3</v>
      </c>
      <c r="F62" s="222" t="str">
        <f>'PLANILHA ORÇAMENTÁRIA'!D61</f>
        <v>Und.</v>
      </c>
    </row>
    <row r="80" spans="3:3" x14ac:dyDescent="0.2">
      <c r="C80" s="70"/>
    </row>
    <row r="83" spans="1:6" x14ac:dyDescent="0.2">
      <c r="A83" s="12"/>
      <c r="B83" s="12"/>
      <c r="C83" s="13"/>
      <c r="D83" s="12"/>
      <c r="E83" s="12"/>
      <c r="F83" s="12"/>
    </row>
    <row r="84" spans="1:6" x14ac:dyDescent="0.2">
      <c r="A84" s="12"/>
      <c r="B84" s="12"/>
      <c r="C84" s="13"/>
      <c r="D84" s="12"/>
      <c r="E84" s="12"/>
      <c r="F84" s="12"/>
    </row>
  </sheetData>
  <mergeCells count="23">
    <mergeCell ref="B57:F57"/>
    <mergeCell ref="B59:F59"/>
    <mergeCell ref="B47:F47"/>
    <mergeCell ref="B36:F36"/>
    <mergeCell ref="B34:F34"/>
    <mergeCell ref="B39:F39"/>
    <mergeCell ref="B41:F41"/>
    <mergeCell ref="B33:F33"/>
    <mergeCell ref="B43:F43"/>
    <mergeCell ref="A1:F1"/>
    <mergeCell ref="C2:D6"/>
    <mergeCell ref="E7:F7"/>
    <mergeCell ref="E8:F8"/>
    <mergeCell ref="B7:D7"/>
    <mergeCell ref="B8:D8"/>
    <mergeCell ref="A2:B6"/>
    <mergeCell ref="E2:F6"/>
    <mergeCell ref="B30:F30"/>
    <mergeCell ref="B24:F24"/>
    <mergeCell ref="B13:F13"/>
    <mergeCell ref="B11:F11"/>
    <mergeCell ref="A9:F9"/>
    <mergeCell ref="A10:F10"/>
  </mergeCells>
  <phoneticPr fontId="27" type="noConversion"/>
  <pageMargins left="0.25" right="0.25" top="0.75" bottom="0.75" header="0.3" footer="0.3"/>
  <pageSetup paperSize="9" scale="8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zoomScale="160" zoomScaleNormal="160" workbookViewId="0">
      <selection activeCell="H15" sqref="H15:L23"/>
    </sheetView>
  </sheetViews>
  <sheetFormatPr defaultRowHeight="12.75" x14ac:dyDescent="0.2"/>
  <cols>
    <col min="1" max="1" width="15.33203125" customWidth="1"/>
    <col min="2" max="2" width="54" customWidth="1"/>
    <col min="3" max="3" width="11" customWidth="1"/>
    <col min="4" max="4" width="12.33203125" customWidth="1"/>
    <col min="5" max="5" width="10.1640625" customWidth="1"/>
    <col min="6" max="6" width="11" customWidth="1"/>
  </cols>
  <sheetData>
    <row r="1" spans="1:8" ht="5.25" customHeight="1" x14ac:dyDescent="0.2">
      <c r="A1" s="342"/>
      <c r="B1" s="343"/>
      <c r="C1" s="343"/>
      <c r="D1" s="343"/>
      <c r="E1" s="343"/>
      <c r="F1" s="344"/>
    </row>
    <row r="2" spans="1:8" ht="26.85" customHeight="1" x14ac:dyDescent="0.2">
      <c r="A2" s="345"/>
      <c r="B2" s="347" t="s">
        <v>73</v>
      </c>
      <c r="C2" s="349" t="s">
        <v>147</v>
      </c>
      <c r="D2" s="350"/>
      <c r="E2" s="239"/>
      <c r="F2" s="240"/>
    </row>
    <row r="3" spans="1:8" ht="24.75" customHeight="1" thickBot="1" x14ac:dyDescent="0.25">
      <c r="A3" s="346"/>
      <c r="B3" s="348"/>
      <c r="C3" s="59" t="s">
        <v>28</v>
      </c>
      <c r="D3" s="60">
        <f>BDI!E4</f>
        <v>0.23535496426352442</v>
      </c>
      <c r="E3" s="351"/>
      <c r="F3" s="352"/>
    </row>
    <row r="4" spans="1:8" ht="9" customHeight="1" thickBot="1" x14ac:dyDescent="0.25">
      <c r="A4" s="274" t="s">
        <v>68</v>
      </c>
      <c r="B4" s="275"/>
      <c r="C4" s="275"/>
      <c r="D4" s="275"/>
      <c r="E4" s="275"/>
      <c r="F4" s="276"/>
      <c r="G4" s="58"/>
      <c r="H4" s="58"/>
    </row>
    <row r="5" spans="1:8" ht="31.5" customHeight="1" x14ac:dyDescent="0.2">
      <c r="A5" s="62" t="s">
        <v>3</v>
      </c>
      <c r="B5" s="249" t="s">
        <v>146</v>
      </c>
      <c r="C5" s="249"/>
      <c r="D5" s="249"/>
      <c r="E5" s="249"/>
      <c r="F5" s="29" t="s">
        <v>75</v>
      </c>
    </row>
    <row r="6" spans="1:8" ht="10.35" customHeight="1" thickBot="1" x14ac:dyDescent="0.25">
      <c r="A6" s="63" t="s">
        <v>64</v>
      </c>
      <c r="B6" s="323" t="s">
        <v>148</v>
      </c>
      <c r="C6" s="323"/>
      <c r="D6" s="323"/>
      <c r="E6" s="81"/>
      <c r="F6" s="30">
        <f ca="1">TODAY()</f>
        <v>44734</v>
      </c>
    </row>
    <row r="7" spans="1:8" ht="12.75" customHeight="1" x14ac:dyDescent="0.2">
      <c r="A7" s="353" t="s">
        <v>91</v>
      </c>
      <c r="B7" s="354"/>
      <c r="C7" s="354"/>
      <c r="D7" s="354"/>
      <c r="E7" s="354"/>
      <c r="F7" s="355"/>
      <c r="G7" s="61"/>
      <c r="H7" s="61"/>
    </row>
    <row r="8" spans="1:8" ht="8.25" customHeight="1" x14ac:dyDescent="0.2">
      <c r="A8" s="92" t="s">
        <v>59</v>
      </c>
      <c r="B8" s="356" t="s">
        <v>13</v>
      </c>
      <c r="C8" s="357"/>
      <c r="D8" s="357"/>
      <c r="E8" s="358"/>
      <c r="F8" s="93" t="s">
        <v>14</v>
      </c>
    </row>
    <row r="9" spans="1:8" ht="16.5" x14ac:dyDescent="0.2">
      <c r="A9" s="94" t="s">
        <v>15</v>
      </c>
      <c r="B9" s="65" t="s">
        <v>16</v>
      </c>
      <c r="C9" s="65" t="s">
        <v>14</v>
      </c>
      <c r="D9" s="65" t="s">
        <v>17</v>
      </c>
      <c r="E9" s="65" t="s">
        <v>18</v>
      </c>
      <c r="F9" s="95" t="s">
        <v>19</v>
      </c>
    </row>
    <row r="10" spans="1:8" ht="8.25" customHeight="1" x14ac:dyDescent="0.2">
      <c r="A10" s="337" t="s">
        <v>20</v>
      </c>
      <c r="B10" s="338"/>
      <c r="C10" s="338"/>
      <c r="D10" s="338"/>
      <c r="E10" s="338"/>
      <c r="F10" s="339"/>
    </row>
    <row r="11" spans="1:8" ht="8.25" customHeight="1" x14ac:dyDescent="0.2">
      <c r="A11" s="96">
        <v>90780</v>
      </c>
      <c r="B11" s="3" t="s">
        <v>21</v>
      </c>
      <c r="C11" s="4" t="s">
        <v>22</v>
      </c>
      <c r="D11" s="25">
        <f>4*5*4*1</f>
        <v>80</v>
      </c>
      <c r="E11" s="25">
        <v>34.93</v>
      </c>
      <c r="F11" s="97">
        <f>D11*E11</f>
        <v>2794.4</v>
      </c>
      <c r="G11" s="7"/>
    </row>
    <row r="12" spans="1:8" ht="17.25" customHeight="1" x14ac:dyDescent="0.2">
      <c r="A12" s="98">
        <v>90777</v>
      </c>
      <c r="B12" s="5" t="s">
        <v>23</v>
      </c>
      <c r="C12" s="6" t="s">
        <v>22</v>
      </c>
      <c r="D12" s="26">
        <f>2*3*4*1</f>
        <v>24</v>
      </c>
      <c r="E12" s="26">
        <v>93.77</v>
      </c>
      <c r="F12" s="97">
        <f>D12*E12</f>
        <v>2250.48</v>
      </c>
      <c r="G12" s="7"/>
    </row>
    <row r="13" spans="1:8" ht="8.25" customHeight="1" x14ac:dyDescent="0.2">
      <c r="A13" s="359"/>
      <c r="B13" s="360"/>
      <c r="C13" s="360"/>
      <c r="D13" s="361"/>
      <c r="E13" s="64" t="s">
        <v>24</v>
      </c>
      <c r="F13" s="99">
        <f>SUM(F11:F12)</f>
        <v>5044.88</v>
      </c>
    </row>
    <row r="14" spans="1:8" ht="8.25" customHeight="1" x14ac:dyDescent="0.2">
      <c r="A14" s="320"/>
      <c r="B14" s="321"/>
      <c r="C14" s="321"/>
      <c r="D14" s="321"/>
      <c r="E14" s="321"/>
      <c r="F14" s="322"/>
    </row>
    <row r="15" spans="1:8" ht="8.25" customHeight="1" x14ac:dyDescent="0.2">
      <c r="A15" s="329" t="s">
        <v>25</v>
      </c>
      <c r="B15" s="330"/>
      <c r="C15" s="330"/>
      <c r="D15" s="330"/>
      <c r="E15" s="330"/>
      <c r="F15" s="331"/>
    </row>
    <row r="16" spans="1:8" ht="8.25" customHeight="1" x14ac:dyDescent="0.2">
      <c r="A16" s="332" t="s">
        <v>16</v>
      </c>
      <c r="B16" s="333"/>
      <c r="C16" s="2" t="s">
        <v>14</v>
      </c>
      <c r="D16" s="334" t="s">
        <v>26</v>
      </c>
      <c r="E16" s="335"/>
      <c r="F16" s="336"/>
    </row>
    <row r="17" spans="1:6" ht="8.25" customHeight="1" x14ac:dyDescent="0.2">
      <c r="A17" s="337" t="s">
        <v>27</v>
      </c>
      <c r="B17" s="338"/>
      <c r="C17" s="338"/>
      <c r="D17" s="338"/>
      <c r="E17" s="338"/>
      <c r="F17" s="339"/>
    </row>
    <row r="18" spans="1:6" ht="8.25" customHeight="1" x14ac:dyDescent="0.2">
      <c r="A18" s="340" t="s">
        <v>21</v>
      </c>
      <c r="B18" s="341"/>
      <c r="C18" s="4" t="s">
        <v>22</v>
      </c>
      <c r="D18" s="326" t="s">
        <v>187</v>
      </c>
      <c r="E18" s="327"/>
      <c r="F18" s="328"/>
    </row>
    <row r="19" spans="1:6" ht="9.6" customHeight="1" x14ac:dyDescent="0.2">
      <c r="A19" s="324" t="s">
        <v>23</v>
      </c>
      <c r="B19" s="325"/>
      <c r="C19" s="4" t="s">
        <v>22</v>
      </c>
      <c r="D19" s="326" t="s">
        <v>188</v>
      </c>
      <c r="E19" s="327"/>
      <c r="F19" s="328"/>
    </row>
    <row r="20" spans="1:6" ht="9.6" customHeight="1" thickBot="1" x14ac:dyDescent="0.25">
      <c r="A20" s="100"/>
      <c r="B20" s="101"/>
      <c r="C20" s="101"/>
      <c r="D20" s="102"/>
      <c r="E20" s="103"/>
      <c r="F20" s="104"/>
    </row>
  </sheetData>
  <mergeCells count="21">
    <mergeCell ref="A4:F4"/>
    <mergeCell ref="A7:F7"/>
    <mergeCell ref="B8:E8"/>
    <mergeCell ref="A10:F10"/>
    <mergeCell ref="A13:D13"/>
    <mergeCell ref="B5:E5"/>
    <mergeCell ref="A1:F1"/>
    <mergeCell ref="A2:A3"/>
    <mergeCell ref="B2:B3"/>
    <mergeCell ref="C2:D2"/>
    <mergeCell ref="E2:F3"/>
    <mergeCell ref="A14:F14"/>
    <mergeCell ref="B6:D6"/>
    <mergeCell ref="A19:B19"/>
    <mergeCell ref="D19:F19"/>
    <mergeCell ref="A15:F15"/>
    <mergeCell ref="A16:B16"/>
    <mergeCell ref="D16:F16"/>
    <mergeCell ref="A17:F17"/>
    <mergeCell ref="A18:B18"/>
    <mergeCell ref="D18:F18"/>
  </mergeCells>
  <pageMargins left="0.25" right="0.25" top="0.75" bottom="0.75" header="0.3" footer="0.3"/>
  <pageSetup paperSize="9" scale="6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opLeftCell="A6" zoomScale="130" zoomScaleNormal="130" workbookViewId="0">
      <selection activeCell="I14" sqref="I14:L20"/>
    </sheetView>
  </sheetViews>
  <sheetFormatPr defaultRowHeight="12.75" x14ac:dyDescent="0.2"/>
  <cols>
    <col min="1" max="1" width="15.33203125" style="109" customWidth="1"/>
    <col min="2" max="2" width="54" style="109" customWidth="1"/>
    <col min="3" max="3" width="11" style="109" customWidth="1"/>
    <col min="4" max="4" width="12.33203125" style="109" customWidth="1"/>
    <col min="5" max="5" width="10.1640625" style="109" customWidth="1"/>
    <col min="6" max="6" width="12.1640625" style="109" customWidth="1"/>
    <col min="7" max="16384" width="9.33203125" style="109"/>
  </cols>
  <sheetData>
    <row r="1" spans="1:9" ht="5.25" customHeight="1" x14ac:dyDescent="0.2">
      <c r="A1" s="342"/>
      <c r="B1" s="343"/>
      <c r="C1" s="343"/>
      <c r="D1" s="343"/>
      <c r="E1" s="343"/>
      <c r="F1" s="344"/>
    </row>
    <row r="2" spans="1:9" ht="26.85" customHeight="1" x14ac:dyDescent="0.2">
      <c r="A2" s="376"/>
      <c r="B2" s="378" t="s">
        <v>73</v>
      </c>
      <c r="C2" s="380" t="s">
        <v>147</v>
      </c>
      <c r="D2" s="381"/>
      <c r="E2" s="382"/>
      <c r="F2" s="383"/>
    </row>
    <row r="3" spans="1:9" ht="13.5" thickBot="1" x14ac:dyDescent="0.25">
      <c r="A3" s="377"/>
      <c r="B3" s="379"/>
      <c r="C3" s="110" t="s">
        <v>79</v>
      </c>
      <c r="D3" s="111">
        <f>BDI!E4</f>
        <v>0.23535496426352442</v>
      </c>
      <c r="E3" s="384"/>
      <c r="F3" s="385"/>
    </row>
    <row r="4" spans="1:9" ht="13.5" thickBot="1" x14ac:dyDescent="0.25">
      <c r="A4" s="274" t="s">
        <v>68</v>
      </c>
      <c r="B4" s="275"/>
      <c r="C4" s="275"/>
      <c r="D4" s="275"/>
      <c r="E4" s="275"/>
      <c r="F4" s="276"/>
      <c r="G4" s="112"/>
      <c r="H4" s="112"/>
    </row>
    <row r="5" spans="1:9" ht="35.25" customHeight="1" x14ac:dyDescent="0.2">
      <c r="A5" s="113" t="s">
        <v>3</v>
      </c>
      <c r="B5" s="371" t="s">
        <v>146</v>
      </c>
      <c r="C5" s="371"/>
      <c r="D5" s="371"/>
      <c r="E5" s="371"/>
      <c r="F5" s="114" t="s">
        <v>75</v>
      </c>
    </row>
    <row r="6" spans="1:9" ht="13.5" thickBot="1" x14ac:dyDescent="0.25">
      <c r="A6" s="115" t="s">
        <v>64</v>
      </c>
      <c r="B6" s="372" t="s">
        <v>83</v>
      </c>
      <c r="C6" s="372"/>
      <c r="D6" s="372"/>
      <c r="E6" s="372"/>
      <c r="F6" s="30">
        <f ca="1">TODAY()</f>
        <v>44734</v>
      </c>
    </row>
    <row r="7" spans="1:9" ht="12.75" customHeight="1" x14ac:dyDescent="0.2">
      <c r="A7" s="353" t="s">
        <v>84</v>
      </c>
      <c r="B7" s="354"/>
      <c r="C7" s="354"/>
      <c r="D7" s="354"/>
      <c r="E7" s="354"/>
      <c r="F7" s="355"/>
      <c r="G7" s="116"/>
      <c r="H7" s="116"/>
    </row>
    <row r="8" spans="1:9" ht="18" customHeight="1" x14ac:dyDescent="0.2">
      <c r="A8" s="117" t="s">
        <v>59</v>
      </c>
      <c r="B8" s="356" t="s">
        <v>90</v>
      </c>
      <c r="C8" s="357"/>
      <c r="D8" s="357"/>
      <c r="E8" s="358"/>
      <c r="F8" s="93" t="s">
        <v>99</v>
      </c>
    </row>
    <row r="9" spans="1:9" ht="16.5" x14ac:dyDescent="0.2">
      <c r="A9" s="118" t="s">
        <v>15</v>
      </c>
      <c r="B9" s="119" t="s">
        <v>16</v>
      </c>
      <c r="C9" s="119" t="s">
        <v>14</v>
      </c>
      <c r="D9" s="119" t="s">
        <v>17</v>
      </c>
      <c r="E9" s="119" t="s">
        <v>18</v>
      </c>
      <c r="F9" s="120" t="s">
        <v>85</v>
      </c>
    </row>
    <row r="10" spans="1:9" ht="10.5" customHeight="1" x14ac:dyDescent="0.2">
      <c r="A10" s="337" t="s">
        <v>94</v>
      </c>
      <c r="B10" s="338"/>
      <c r="C10" s="338"/>
      <c r="D10" s="338"/>
      <c r="E10" s="338"/>
      <c r="F10" s="339"/>
    </row>
    <row r="11" spans="1:9" ht="24.75" x14ac:dyDescent="0.2">
      <c r="A11" s="127">
        <v>53792</v>
      </c>
      <c r="B11" s="121" t="s">
        <v>93</v>
      </c>
      <c r="C11" s="122" t="s">
        <v>86</v>
      </c>
      <c r="D11" s="132">
        <v>1.2E-2</v>
      </c>
      <c r="E11" s="124">
        <v>99.54</v>
      </c>
      <c r="F11" s="125">
        <f>E11*D11</f>
        <v>1.1944800000000002</v>
      </c>
      <c r="G11" s="126"/>
    </row>
    <row r="12" spans="1:9" ht="24.75" x14ac:dyDescent="0.2">
      <c r="A12" s="127">
        <v>53858</v>
      </c>
      <c r="B12" s="121" t="s">
        <v>95</v>
      </c>
      <c r="C12" s="122" t="s">
        <v>86</v>
      </c>
      <c r="D12" s="132">
        <v>4.7000000000000002E-3</v>
      </c>
      <c r="E12" s="124">
        <v>44.92</v>
      </c>
      <c r="F12" s="125">
        <f t="shared" ref="F12:F16" si="0">E12*D12</f>
        <v>0.21112400000000001</v>
      </c>
      <c r="G12" s="126"/>
    </row>
    <row r="13" spans="1:9" ht="33" x14ac:dyDescent="0.2">
      <c r="A13" s="127">
        <v>53786</v>
      </c>
      <c r="B13" s="121" t="s">
        <v>96</v>
      </c>
      <c r="C13" s="122" t="s">
        <v>86</v>
      </c>
      <c r="D13" s="131">
        <v>3.0000000000000001E-3</v>
      </c>
      <c r="E13" s="124">
        <v>50.15</v>
      </c>
      <c r="F13" s="125">
        <f t="shared" si="0"/>
        <v>0.15045</v>
      </c>
      <c r="G13" s="126"/>
    </row>
    <row r="14" spans="1:9" ht="11.25" customHeight="1" x14ac:dyDescent="0.2">
      <c r="A14" s="337" t="s">
        <v>98</v>
      </c>
      <c r="B14" s="338"/>
      <c r="C14" s="338"/>
      <c r="D14" s="338"/>
      <c r="E14" s="338"/>
      <c r="F14" s="339"/>
      <c r="G14" s="126"/>
    </row>
    <row r="15" spans="1:9" x14ac:dyDescent="0.2">
      <c r="A15" s="127">
        <v>90776</v>
      </c>
      <c r="B15" s="121" t="s">
        <v>97</v>
      </c>
      <c r="C15" s="122" t="s">
        <v>86</v>
      </c>
      <c r="D15" s="131">
        <v>3.0000000000000001E-3</v>
      </c>
      <c r="E15" s="124">
        <v>23.72</v>
      </c>
      <c r="F15" s="125">
        <f t="shared" si="0"/>
        <v>7.1160000000000001E-2</v>
      </c>
      <c r="G15" s="126"/>
      <c r="I15"/>
    </row>
    <row r="16" spans="1:9" x14ac:dyDescent="0.2">
      <c r="A16" s="127">
        <v>88316</v>
      </c>
      <c r="B16" s="121" t="s">
        <v>87</v>
      </c>
      <c r="C16" s="122" t="s">
        <v>86</v>
      </c>
      <c r="D16" s="123">
        <v>0.02</v>
      </c>
      <c r="E16" s="124">
        <v>16.829999999999998</v>
      </c>
      <c r="F16" s="125">
        <f t="shared" si="0"/>
        <v>0.33659999999999995</v>
      </c>
      <c r="G16" s="126"/>
      <c r="I16"/>
    </row>
    <row r="17" spans="1:6" ht="8.25" customHeight="1" x14ac:dyDescent="0.2">
      <c r="A17" s="373"/>
      <c r="B17" s="374"/>
      <c r="C17" s="374"/>
      <c r="D17" s="375"/>
      <c r="E17" s="64" t="s">
        <v>24</v>
      </c>
      <c r="F17" s="99">
        <f>SUM(F11:F16)</f>
        <v>1.9638140000000004</v>
      </c>
    </row>
    <row r="18" spans="1:6" ht="10.5" customHeight="1" x14ac:dyDescent="0.2">
      <c r="A18" s="362" t="s">
        <v>88</v>
      </c>
      <c r="B18" s="363"/>
      <c r="C18" s="363"/>
      <c r="D18" s="363"/>
      <c r="E18" s="363"/>
      <c r="F18" s="364"/>
    </row>
    <row r="19" spans="1:6" ht="14.25" customHeight="1" x14ac:dyDescent="0.2">
      <c r="A19" s="365" t="s">
        <v>89</v>
      </c>
      <c r="B19" s="366"/>
      <c r="C19" s="366"/>
      <c r="D19" s="366"/>
      <c r="E19" s="366"/>
      <c r="F19" s="367"/>
    </row>
    <row r="20" spans="1:6" ht="8.25" customHeight="1" x14ac:dyDescent="0.2">
      <c r="A20" s="368" t="s">
        <v>100</v>
      </c>
      <c r="B20" s="369"/>
      <c r="C20" s="369"/>
      <c r="D20" s="369"/>
      <c r="E20" s="369"/>
      <c r="F20" s="370"/>
    </row>
    <row r="21" spans="1:6" ht="13.5" thickBot="1" x14ac:dyDescent="0.25">
      <c r="A21" s="128"/>
      <c r="B21" s="129"/>
      <c r="C21" s="129"/>
      <c r="D21" s="129"/>
      <c r="E21" s="129"/>
      <c r="F21" s="130"/>
    </row>
    <row r="22" spans="1:6" ht="9.6" customHeight="1" x14ac:dyDescent="0.2"/>
  </sheetData>
  <mergeCells count="16">
    <mergeCell ref="A4:F4"/>
    <mergeCell ref="A1:F1"/>
    <mergeCell ref="A2:A3"/>
    <mergeCell ref="B2:B3"/>
    <mergeCell ref="C2:D2"/>
    <mergeCell ref="E2:F3"/>
    <mergeCell ref="A18:F18"/>
    <mergeCell ref="A19:F19"/>
    <mergeCell ref="A20:F20"/>
    <mergeCell ref="A14:F14"/>
    <mergeCell ref="B5:E5"/>
    <mergeCell ref="B6:E6"/>
    <mergeCell ref="A7:F7"/>
    <mergeCell ref="B8:E8"/>
    <mergeCell ref="A10:F10"/>
    <mergeCell ref="A17:D17"/>
  </mergeCells>
  <pageMargins left="0.25" right="0.25" top="0.75" bottom="0.75" header="0.3" footer="0.3"/>
  <pageSetup paperSize="9" scale="5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="130" zoomScaleNormal="130" workbookViewId="0">
      <selection activeCell="I14" sqref="I14"/>
    </sheetView>
  </sheetViews>
  <sheetFormatPr defaultRowHeight="12.75" x14ac:dyDescent="0.2"/>
  <cols>
    <col min="1" max="1" width="15.33203125" style="109" customWidth="1"/>
    <col min="2" max="2" width="54" style="109" customWidth="1"/>
    <col min="3" max="3" width="11" style="109" customWidth="1"/>
    <col min="4" max="4" width="12.33203125" style="109" customWidth="1"/>
    <col min="5" max="5" width="10.1640625" style="109" customWidth="1"/>
    <col min="6" max="6" width="12.1640625" style="109" customWidth="1"/>
    <col min="7" max="16384" width="9.33203125" style="109"/>
  </cols>
  <sheetData>
    <row r="1" spans="1:9" ht="5.25" customHeight="1" x14ac:dyDescent="0.2">
      <c r="A1" s="342"/>
      <c r="B1" s="343"/>
      <c r="C1" s="343"/>
      <c r="D1" s="343"/>
      <c r="E1" s="343"/>
      <c r="F1" s="344"/>
    </row>
    <row r="2" spans="1:9" ht="26.85" customHeight="1" x14ac:dyDescent="0.2">
      <c r="A2" s="376"/>
      <c r="B2" s="378" t="s">
        <v>73</v>
      </c>
      <c r="C2" s="386" t="s">
        <v>147</v>
      </c>
      <c r="D2" s="387"/>
      <c r="E2" s="382"/>
      <c r="F2" s="383"/>
    </row>
    <row r="3" spans="1:9" ht="13.5" thickBot="1" x14ac:dyDescent="0.25">
      <c r="A3" s="377"/>
      <c r="B3" s="379"/>
      <c r="C3" s="110" t="s">
        <v>79</v>
      </c>
      <c r="D3" s="111">
        <f>[1]BDI!E4</f>
        <v>0.23535496426352442</v>
      </c>
      <c r="E3" s="384"/>
      <c r="F3" s="385"/>
    </row>
    <row r="4" spans="1:9" ht="13.5" thickBot="1" x14ac:dyDescent="0.25">
      <c r="A4" s="274" t="s">
        <v>68</v>
      </c>
      <c r="B4" s="275"/>
      <c r="C4" s="275"/>
      <c r="D4" s="275"/>
      <c r="E4" s="275"/>
      <c r="F4" s="276"/>
      <c r="G4" s="112"/>
      <c r="H4" s="112"/>
    </row>
    <row r="5" spans="1:9" ht="23.25" customHeight="1" x14ac:dyDescent="0.2">
      <c r="A5" s="113" t="s">
        <v>3</v>
      </c>
      <c r="B5" s="371" t="s">
        <v>146</v>
      </c>
      <c r="C5" s="371"/>
      <c r="D5" s="371"/>
      <c r="E5" s="371"/>
      <c r="F5" s="114" t="s">
        <v>75</v>
      </c>
    </row>
    <row r="6" spans="1:9" ht="13.5" thickBot="1" x14ac:dyDescent="0.25">
      <c r="A6" s="115" t="s">
        <v>64</v>
      </c>
      <c r="B6" s="372" t="s">
        <v>148</v>
      </c>
      <c r="C6" s="372"/>
      <c r="D6" s="372"/>
      <c r="E6" s="372"/>
      <c r="F6" s="30">
        <f ca="1">TODAY()</f>
        <v>44734</v>
      </c>
    </row>
    <row r="7" spans="1:9" ht="12.75" customHeight="1" x14ac:dyDescent="0.2">
      <c r="A7" s="353" t="s">
        <v>92</v>
      </c>
      <c r="B7" s="354"/>
      <c r="C7" s="354"/>
      <c r="D7" s="354"/>
      <c r="E7" s="354"/>
      <c r="F7" s="355"/>
      <c r="G7" s="116"/>
      <c r="H7" s="116"/>
    </row>
    <row r="8" spans="1:9" x14ac:dyDescent="0.2">
      <c r="A8" s="117" t="s">
        <v>59</v>
      </c>
      <c r="B8" s="356" t="s">
        <v>125</v>
      </c>
      <c r="C8" s="357"/>
      <c r="D8" s="357"/>
      <c r="E8" s="358"/>
      <c r="F8" s="93" t="s">
        <v>14</v>
      </c>
    </row>
    <row r="9" spans="1:9" ht="16.5" x14ac:dyDescent="0.2">
      <c r="A9" s="118" t="s">
        <v>15</v>
      </c>
      <c r="B9" s="119" t="s">
        <v>16</v>
      </c>
      <c r="C9" s="119" t="s">
        <v>14</v>
      </c>
      <c r="D9" s="119" t="s">
        <v>17</v>
      </c>
      <c r="E9" s="119" t="s">
        <v>18</v>
      </c>
      <c r="F9" s="120" t="s">
        <v>85</v>
      </c>
    </row>
    <row r="10" spans="1:9" ht="8.25" customHeight="1" x14ac:dyDescent="0.2">
      <c r="A10" s="337" t="s">
        <v>20</v>
      </c>
      <c r="B10" s="338"/>
      <c r="C10" s="338"/>
      <c r="D10" s="338"/>
      <c r="E10" s="338"/>
      <c r="F10" s="339"/>
    </row>
    <row r="11" spans="1:9" ht="16.5" x14ac:dyDescent="0.2">
      <c r="A11" s="178">
        <v>4417</v>
      </c>
      <c r="B11" s="121" t="s">
        <v>126</v>
      </c>
      <c r="C11" s="122" t="s">
        <v>127</v>
      </c>
      <c r="D11" s="123" t="s">
        <v>128</v>
      </c>
      <c r="E11" s="124">
        <v>5.66</v>
      </c>
      <c r="F11" s="125">
        <f>E11*D11</f>
        <v>5.66</v>
      </c>
      <c r="G11" s="126"/>
    </row>
    <row r="12" spans="1:9" ht="16.5" x14ac:dyDescent="0.2">
      <c r="A12" s="178">
        <v>4491</v>
      </c>
      <c r="B12" s="121" t="s">
        <v>129</v>
      </c>
      <c r="C12" s="122" t="s">
        <v>127</v>
      </c>
      <c r="D12" s="123" t="s">
        <v>130</v>
      </c>
      <c r="E12" s="124">
        <v>9.0399999999999991</v>
      </c>
      <c r="F12" s="125">
        <f t="shared" ref="F12:F17" si="0">E12*D12</f>
        <v>36.159999999999997</v>
      </c>
      <c r="G12" s="126"/>
    </row>
    <row r="13" spans="1:9" ht="16.5" x14ac:dyDescent="0.2">
      <c r="A13" s="178">
        <v>4813</v>
      </c>
      <c r="B13" s="121" t="s">
        <v>131</v>
      </c>
      <c r="C13" s="122" t="s">
        <v>132</v>
      </c>
      <c r="D13" s="123" t="s">
        <v>128</v>
      </c>
      <c r="E13" s="124">
        <v>225</v>
      </c>
      <c r="F13" s="125">
        <f t="shared" si="0"/>
        <v>225</v>
      </c>
      <c r="G13" s="126"/>
    </row>
    <row r="14" spans="1:9" x14ac:dyDescent="0.2">
      <c r="A14" s="178">
        <v>5075</v>
      </c>
      <c r="B14" s="121" t="s">
        <v>133</v>
      </c>
      <c r="C14" s="122" t="s">
        <v>134</v>
      </c>
      <c r="D14" s="123" t="s">
        <v>135</v>
      </c>
      <c r="E14" s="124">
        <v>24.04</v>
      </c>
      <c r="F14" s="125">
        <f t="shared" si="0"/>
        <v>2.6444000000000001</v>
      </c>
      <c r="G14" s="126"/>
      <c r="I14" s="179"/>
    </row>
    <row r="15" spans="1:9" x14ac:dyDescent="0.2">
      <c r="A15" s="178">
        <v>88262</v>
      </c>
      <c r="B15" s="121" t="s">
        <v>136</v>
      </c>
      <c r="C15" s="122" t="s">
        <v>86</v>
      </c>
      <c r="D15" s="123" t="s">
        <v>128</v>
      </c>
      <c r="E15" s="124">
        <v>20.85</v>
      </c>
      <c r="F15" s="125">
        <f t="shared" si="0"/>
        <v>20.85</v>
      </c>
      <c r="G15" s="126"/>
    </row>
    <row r="16" spans="1:9" x14ac:dyDescent="0.2">
      <c r="A16" s="178">
        <v>88316</v>
      </c>
      <c r="B16" s="121" t="s">
        <v>87</v>
      </c>
      <c r="C16" s="122" t="s">
        <v>86</v>
      </c>
      <c r="D16" s="123" t="s">
        <v>137</v>
      </c>
      <c r="E16" s="124">
        <v>16.829999999999998</v>
      </c>
      <c r="F16" s="125">
        <f t="shared" si="0"/>
        <v>33.659999999999997</v>
      </c>
      <c r="G16" s="126"/>
    </row>
    <row r="17" spans="1:7" ht="16.5" x14ac:dyDescent="0.2">
      <c r="A17" s="178">
        <v>94962</v>
      </c>
      <c r="B17" s="121" t="s">
        <v>138</v>
      </c>
      <c r="C17" s="122" t="s">
        <v>139</v>
      </c>
      <c r="D17" s="123" t="s">
        <v>140</v>
      </c>
      <c r="E17" s="124">
        <v>326.62</v>
      </c>
      <c r="F17" s="125">
        <f t="shared" si="0"/>
        <v>3.2662</v>
      </c>
      <c r="G17" s="126"/>
    </row>
    <row r="18" spans="1:7" ht="8.25" customHeight="1" x14ac:dyDescent="0.2">
      <c r="A18" s="373"/>
      <c r="B18" s="374"/>
      <c r="C18" s="374"/>
      <c r="D18" s="375"/>
      <c r="E18" s="64" t="s">
        <v>24</v>
      </c>
      <c r="F18" s="99">
        <f>SUM(F11:F17)</f>
        <v>327.24060000000009</v>
      </c>
    </row>
    <row r="19" spans="1:7" ht="10.5" customHeight="1" x14ac:dyDescent="0.2">
      <c r="A19" s="362" t="s">
        <v>88</v>
      </c>
      <c r="B19" s="363"/>
      <c r="C19" s="363"/>
      <c r="D19" s="363"/>
      <c r="E19" s="363"/>
      <c r="F19" s="364"/>
    </row>
    <row r="20" spans="1:7" ht="14.25" customHeight="1" x14ac:dyDescent="0.2">
      <c r="A20" s="365" t="s">
        <v>89</v>
      </c>
      <c r="B20" s="366"/>
      <c r="C20" s="366"/>
      <c r="D20" s="366"/>
      <c r="E20" s="366"/>
      <c r="F20" s="367"/>
    </row>
    <row r="21" spans="1:7" ht="8.25" customHeight="1" x14ac:dyDescent="0.2">
      <c r="A21" s="368" t="s">
        <v>141</v>
      </c>
      <c r="B21" s="369"/>
      <c r="C21" s="369"/>
      <c r="D21" s="369"/>
      <c r="E21" s="369"/>
      <c r="F21" s="370"/>
    </row>
    <row r="22" spans="1:7" ht="13.5" thickBot="1" x14ac:dyDescent="0.25">
      <c r="A22" s="128"/>
      <c r="B22" s="129"/>
      <c r="C22" s="129"/>
      <c r="D22" s="129"/>
      <c r="E22" s="129"/>
      <c r="F22" s="130"/>
    </row>
    <row r="23" spans="1:7" ht="9.6" customHeight="1" x14ac:dyDescent="0.2"/>
  </sheetData>
  <mergeCells count="15">
    <mergeCell ref="A19:F19"/>
    <mergeCell ref="A20:F20"/>
    <mergeCell ref="A21:F21"/>
    <mergeCell ref="B5:E5"/>
    <mergeCell ref="B6:E6"/>
    <mergeCell ref="A7:F7"/>
    <mergeCell ref="B8:E8"/>
    <mergeCell ref="A10:F10"/>
    <mergeCell ref="A18:D18"/>
    <mergeCell ref="A4:F4"/>
    <mergeCell ref="A1:F1"/>
    <mergeCell ref="A2:A3"/>
    <mergeCell ref="B2:B3"/>
    <mergeCell ref="C2:D2"/>
    <mergeCell ref="E2:F3"/>
  </mergeCells>
  <pageMargins left="0.25" right="0.25" top="0.75" bottom="0.75" header="0.3" footer="0.3"/>
  <pageSetup paperSize="9" scale="6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zoomScale="160" zoomScaleNormal="160" workbookViewId="0">
      <selection activeCell="B5" sqref="B5:E5"/>
    </sheetView>
  </sheetViews>
  <sheetFormatPr defaultRowHeight="12.75" x14ac:dyDescent="0.2"/>
  <cols>
    <col min="1" max="1" width="15.33203125" style="109" customWidth="1"/>
    <col min="2" max="2" width="54" style="109" customWidth="1"/>
    <col min="3" max="3" width="11" style="109" customWidth="1"/>
    <col min="4" max="4" width="12.33203125" style="109" customWidth="1"/>
    <col min="5" max="5" width="10.1640625" style="109" customWidth="1"/>
    <col min="6" max="6" width="12.1640625" style="109" customWidth="1"/>
    <col min="7" max="16384" width="9.33203125" style="109"/>
  </cols>
  <sheetData>
    <row r="1" spans="1:8" ht="5.25" customHeight="1" x14ac:dyDescent="0.2">
      <c r="A1" s="342"/>
      <c r="B1" s="343"/>
      <c r="C1" s="343"/>
      <c r="D1" s="343"/>
      <c r="E1" s="343"/>
      <c r="F1" s="344"/>
    </row>
    <row r="2" spans="1:8" ht="26.85" customHeight="1" x14ac:dyDescent="0.2">
      <c r="A2" s="376"/>
      <c r="B2" s="378" t="s">
        <v>73</v>
      </c>
      <c r="C2" s="386" t="s">
        <v>147</v>
      </c>
      <c r="D2" s="387"/>
      <c r="E2" s="382"/>
      <c r="F2" s="383"/>
    </row>
    <row r="3" spans="1:8" ht="13.5" thickBot="1" x14ac:dyDescent="0.25">
      <c r="A3" s="377"/>
      <c r="B3" s="379"/>
      <c r="C3" s="110" t="s">
        <v>79</v>
      </c>
      <c r="D3" s="111">
        <f>[1]BDI!E4</f>
        <v>0.23535496426352442</v>
      </c>
      <c r="E3" s="384"/>
      <c r="F3" s="385"/>
    </row>
    <row r="4" spans="1:8" ht="13.5" thickBot="1" x14ac:dyDescent="0.25">
      <c r="A4" s="274" t="s">
        <v>68</v>
      </c>
      <c r="B4" s="275"/>
      <c r="C4" s="275"/>
      <c r="D4" s="275"/>
      <c r="E4" s="275"/>
      <c r="F4" s="276"/>
      <c r="G4" s="112"/>
      <c r="H4" s="112"/>
    </row>
    <row r="5" spans="1:8" ht="23.25" customHeight="1" x14ac:dyDescent="0.2">
      <c r="A5" s="113" t="s">
        <v>3</v>
      </c>
      <c r="B5" s="371" t="s">
        <v>146</v>
      </c>
      <c r="C5" s="371"/>
      <c r="D5" s="371"/>
      <c r="E5" s="371"/>
      <c r="F5" s="114" t="s">
        <v>75</v>
      </c>
    </row>
    <row r="6" spans="1:8" ht="13.5" thickBot="1" x14ac:dyDescent="0.25">
      <c r="A6" s="115" t="s">
        <v>64</v>
      </c>
      <c r="B6" s="372" t="s">
        <v>83</v>
      </c>
      <c r="C6" s="372"/>
      <c r="D6" s="372"/>
      <c r="E6" s="372"/>
      <c r="F6" s="30">
        <f ca="1">TODAY()</f>
        <v>44734</v>
      </c>
    </row>
    <row r="7" spans="1:8" ht="12.75" customHeight="1" x14ac:dyDescent="0.2">
      <c r="A7" s="353" t="s">
        <v>122</v>
      </c>
      <c r="B7" s="354"/>
      <c r="C7" s="354"/>
      <c r="D7" s="354"/>
      <c r="E7" s="354"/>
      <c r="F7" s="355"/>
      <c r="G7" s="116"/>
      <c r="H7" s="116"/>
    </row>
    <row r="8" spans="1:8" x14ac:dyDescent="0.2">
      <c r="A8" s="117" t="s">
        <v>59</v>
      </c>
      <c r="B8" s="356" t="s">
        <v>173</v>
      </c>
      <c r="C8" s="357"/>
      <c r="D8" s="357"/>
      <c r="E8" s="358"/>
      <c r="F8" s="93" t="s">
        <v>14</v>
      </c>
    </row>
    <row r="9" spans="1:8" ht="16.5" x14ac:dyDescent="0.2">
      <c r="A9" s="118" t="s">
        <v>15</v>
      </c>
      <c r="B9" s="119" t="s">
        <v>16</v>
      </c>
      <c r="C9" s="119" t="s">
        <v>14</v>
      </c>
      <c r="D9" s="119" t="s">
        <v>17</v>
      </c>
      <c r="E9" s="119" t="s">
        <v>18</v>
      </c>
      <c r="F9" s="120" t="s">
        <v>85</v>
      </c>
    </row>
    <row r="10" spans="1:8" x14ac:dyDescent="0.2">
      <c r="A10" s="337" t="s">
        <v>170</v>
      </c>
      <c r="B10" s="338"/>
      <c r="C10" s="338"/>
      <c r="D10" s="338"/>
      <c r="E10" s="338"/>
      <c r="F10" s="339"/>
    </row>
    <row r="11" spans="1:8" ht="24.75" x14ac:dyDescent="0.2">
      <c r="A11" s="178">
        <v>102180</v>
      </c>
      <c r="B11" s="121" t="s">
        <v>172</v>
      </c>
      <c r="C11" s="122" t="s">
        <v>61</v>
      </c>
      <c r="D11" s="132">
        <v>1.05</v>
      </c>
      <c r="E11" s="124">
        <v>458.83</v>
      </c>
      <c r="F11" s="125">
        <f>E11*D11</f>
        <v>481.7715</v>
      </c>
    </row>
    <row r="12" spans="1:8" ht="8.25" customHeight="1" x14ac:dyDescent="0.2">
      <c r="A12" s="337" t="s">
        <v>20</v>
      </c>
      <c r="B12" s="338"/>
      <c r="C12" s="338"/>
      <c r="D12" s="338"/>
      <c r="E12" s="338"/>
      <c r="F12" s="339"/>
    </row>
    <row r="13" spans="1:8" x14ac:dyDescent="0.2">
      <c r="A13" s="178">
        <v>88309</v>
      </c>
      <c r="B13" s="121" t="s">
        <v>171</v>
      </c>
      <c r="C13" s="122" t="s">
        <v>86</v>
      </c>
      <c r="D13" s="131">
        <v>3.5</v>
      </c>
      <c r="E13" s="124">
        <v>22.41</v>
      </c>
      <c r="F13" s="125">
        <f>E13*D13</f>
        <v>78.435000000000002</v>
      </c>
      <c r="G13" s="126"/>
    </row>
    <row r="14" spans="1:8" x14ac:dyDescent="0.2">
      <c r="A14" s="178">
        <v>88316</v>
      </c>
      <c r="B14" s="121" t="s">
        <v>87</v>
      </c>
      <c r="C14" s="122" t="s">
        <v>86</v>
      </c>
      <c r="D14" s="131">
        <v>3.5</v>
      </c>
      <c r="E14" s="124">
        <v>17.82</v>
      </c>
      <c r="F14" s="125">
        <f t="shared" ref="F14" si="0">E14*D14</f>
        <v>62.370000000000005</v>
      </c>
      <c r="G14" s="126"/>
    </row>
    <row r="15" spans="1:8" ht="8.25" customHeight="1" x14ac:dyDescent="0.2">
      <c r="A15" s="373"/>
      <c r="B15" s="374"/>
      <c r="C15" s="374"/>
      <c r="D15" s="375"/>
      <c r="E15" s="64" t="s">
        <v>24</v>
      </c>
      <c r="F15" s="99">
        <f>SUM(F11:F14)</f>
        <v>622.57650000000001</v>
      </c>
    </row>
    <row r="16" spans="1:8" ht="10.5" customHeight="1" x14ac:dyDescent="0.2">
      <c r="A16" s="362" t="s">
        <v>88</v>
      </c>
      <c r="B16" s="363"/>
      <c r="C16" s="363"/>
      <c r="D16" s="363"/>
      <c r="E16" s="363"/>
      <c r="F16" s="364"/>
    </row>
    <row r="17" spans="1:6" ht="14.25" customHeight="1" x14ac:dyDescent="0.2">
      <c r="A17" s="365" t="s">
        <v>89</v>
      </c>
      <c r="B17" s="366"/>
      <c r="C17" s="366"/>
      <c r="D17" s="366"/>
      <c r="E17" s="366"/>
      <c r="F17" s="367"/>
    </row>
    <row r="18" spans="1:6" ht="24" customHeight="1" x14ac:dyDescent="0.2">
      <c r="A18" s="368" t="s">
        <v>169</v>
      </c>
      <c r="B18" s="369"/>
      <c r="C18" s="369"/>
      <c r="D18" s="369"/>
      <c r="E18" s="369"/>
      <c r="F18" s="370"/>
    </row>
    <row r="19" spans="1:6" ht="13.5" thickBot="1" x14ac:dyDescent="0.25">
      <c r="A19" s="128"/>
      <c r="B19" s="129"/>
      <c r="C19" s="129"/>
      <c r="D19" s="129"/>
      <c r="E19" s="129"/>
      <c r="F19" s="130"/>
    </row>
    <row r="20" spans="1:6" ht="9.6" customHeight="1" x14ac:dyDescent="0.2"/>
  </sheetData>
  <mergeCells count="16">
    <mergeCell ref="A4:F4"/>
    <mergeCell ref="A1:F1"/>
    <mergeCell ref="A2:A3"/>
    <mergeCell ref="B2:B3"/>
    <mergeCell ref="C2:D2"/>
    <mergeCell ref="E2:F3"/>
    <mergeCell ref="A15:D15"/>
    <mergeCell ref="A16:F16"/>
    <mergeCell ref="A17:F17"/>
    <mergeCell ref="A18:F18"/>
    <mergeCell ref="B5:E5"/>
    <mergeCell ref="B6:E6"/>
    <mergeCell ref="A7:F7"/>
    <mergeCell ref="B8:E8"/>
    <mergeCell ref="A10:F10"/>
    <mergeCell ref="A12:F12"/>
  </mergeCells>
  <pageMargins left="0.25" right="0.25" top="0.75" bottom="0.75" header="0.3" footer="0.3"/>
  <pageSetup paperSize="9"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opLeftCell="A16" zoomScale="145" zoomScaleNormal="145" workbookViewId="0">
      <selection activeCell="J18" sqref="J18"/>
    </sheetView>
  </sheetViews>
  <sheetFormatPr defaultRowHeight="12.75" x14ac:dyDescent="0.2"/>
  <cols>
    <col min="1" max="1" width="15.33203125" style="109" customWidth="1"/>
    <col min="2" max="2" width="54" style="109" customWidth="1"/>
    <col min="3" max="3" width="11" style="109" customWidth="1"/>
    <col min="4" max="4" width="12.33203125" style="109" customWidth="1"/>
    <col min="5" max="5" width="10.1640625" style="109" customWidth="1"/>
    <col min="6" max="6" width="12.1640625" style="109" customWidth="1"/>
    <col min="7" max="16384" width="9.33203125" style="109"/>
  </cols>
  <sheetData>
    <row r="1" spans="1:8" ht="5.25" customHeight="1" x14ac:dyDescent="0.2">
      <c r="A1" s="342"/>
      <c r="B1" s="343"/>
      <c r="C1" s="343"/>
      <c r="D1" s="343"/>
      <c r="E1" s="343"/>
      <c r="F1" s="344"/>
    </row>
    <row r="2" spans="1:8" ht="26.85" customHeight="1" x14ac:dyDescent="0.2">
      <c r="A2" s="376"/>
      <c r="B2" s="378" t="s">
        <v>73</v>
      </c>
      <c r="C2" s="386" t="s">
        <v>147</v>
      </c>
      <c r="D2" s="387"/>
      <c r="E2" s="382"/>
      <c r="F2" s="383"/>
    </row>
    <row r="3" spans="1:8" ht="13.5" thickBot="1" x14ac:dyDescent="0.25">
      <c r="A3" s="377"/>
      <c r="B3" s="379"/>
      <c r="C3" s="110" t="s">
        <v>79</v>
      </c>
      <c r="D3" s="111">
        <f>[1]BDI!E4</f>
        <v>0.23535496426352442</v>
      </c>
      <c r="E3" s="384"/>
      <c r="F3" s="385"/>
    </row>
    <row r="4" spans="1:8" ht="13.5" thickBot="1" x14ac:dyDescent="0.25">
      <c r="A4" s="274" t="s">
        <v>68</v>
      </c>
      <c r="B4" s="275"/>
      <c r="C4" s="275"/>
      <c r="D4" s="275"/>
      <c r="E4" s="275"/>
      <c r="F4" s="276"/>
      <c r="G4" s="112"/>
      <c r="H4" s="112"/>
    </row>
    <row r="5" spans="1:8" ht="23.25" customHeight="1" x14ac:dyDescent="0.2">
      <c r="A5" s="113" t="s">
        <v>3</v>
      </c>
      <c r="B5" s="371" t="s">
        <v>146</v>
      </c>
      <c r="C5" s="371"/>
      <c r="D5" s="371"/>
      <c r="E5" s="371"/>
      <c r="F5" s="114" t="s">
        <v>75</v>
      </c>
    </row>
    <row r="6" spans="1:8" ht="13.5" thickBot="1" x14ac:dyDescent="0.25">
      <c r="A6" s="115" t="s">
        <v>64</v>
      </c>
      <c r="B6" s="372" t="s">
        <v>83</v>
      </c>
      <c r="C6" s="372"/>
      <c r="D6" s="372"/>
      <c r="E6" s="372"/>
      <c r="F6" s="30">
        <f ca="1">TODAY()</f>
        <v>44734</v>
      </c>
    </row>
    <row r="7" spans="1:8" ht="12.75" customHeight="1" x14ac:dyDescent="0.2">
      <c r="A7" s="353" t="s">
        <v>327</v>
      </c>
      <c r="B7" s="354"/>
      <c r="C7" s="354"/>
      <c r="D7" s="354"/>
      <c r="E7" s="354"/>
      <c r="F7" s="355"/>
      <c r="G7" s="116"/>
      <c r="H7" s="116"/>
    </row>
    <row r="8" spans="1:8" x14ac:dyDescent="0.2">
      <c r="A8" s="117" t="s">
        <v>59</v>
      </c>
      <c r="B8" s="356" t="s">
        <v>176</v>
      </c>
      <c r="C8" s="357"/>
      <c r="D8" s="357"/>
      <c r="E8" s="358"/>
      <c r="F8" s="93" t="s">
        <v>14</v>
      </c>
    </row>
    <row r="9" spans="1:8" ht="16.5" x14ac:dyDescent="0.2">
      <c r="A9" s="118" t="s">
        <v>15</v>
      </c>
      <c r="B9" s="119" t="s">
        <v>16</v>
      </c>
      <c r="C9" s="119" t="s">
        <v>14</v>
      </c>
      <c r="D9" s="119" t="s">
        <v>17</v>
      </c>
      <c r="E9" s="119" t="s">
        <v>18</v>
      </c>
      <c r="F9" s="120" t="s">
        <v>85</v>
      </c>
    </row>
    <row r="10" spans="1:8" ht="16.5" x14ac:dyDescent="0.2">
      <c r="A10" s="178">
        <v>21010</v>
      </c>
      <c r="B10" s="121" t="s">
        <v>177</v>
      </c>
      <c r="C10" s="122" t="s">
        <v>62</v>
      </c>
      <c r="D10" s="132">
        <v>9</v>
      </c>
      <c r="E10" s="124">
        <v>42.93</v>
      </c>
      <c r="F10" s="125">
        <f>E10*D10</f>
        <v>386.37</v>
      </c>
    </row>
    <row r="11" spans="1:8" x14ac:dyDescent="0.2">
      <c r="A11" s="178">
        <v>10997</v>
      </c>
      <c r="B11" s="121" t="s">
        <v>142</v>
      </c>
      <c r="C11" s="122" t="s">
        <v>82</v>
      </c>
      <c r="D11" s="132">
        <v>0.42</v>
      </c>
      <c r="E11" s="124">
        <v>29.2</v>
      </c>
      <c r="F11" s="125">
        <f>E11*D11</f>
        <v>12.263999999999999</v>
      </c>
    </row>
    <row r="12" spans="1:8" ht="16.5" x14ac:dyDescent="0.2">
      <c r="A12" s="178">
        <v>21011</v>
      </c>
      <c r="B12" s="121" t="s">
        <v>178</v>
      </c>
      <c r="C12" s="122" t="s">
        <v>62</v>
      </c>
      <c r="D12" s="132">
        <v>1.98</v>
      </c>
      <c r="E12" s="124">
        <v>62.57</v>
      </c>
      <c r="F12" s="125">
        <f>E12*D12</f>
        <v>123.8886</v>
      </c>
    </row>
    <row r="13" spans="1:8" ht="16.5" x14ac:dyDescent="0.2">
      <c r="A13" s="178">
        <v>100490</v>
      </c>
      <c r="B13" s="121" t="s">
        <v>179</v>
      </c>
      <c r="C13" s="122" t="s">
        <v>103</v>
      </c>
      <c r="D13" s="132">
        <v>8.0000000000000004E-4</v>
      </c>
      <c r="E13" s="124">
        <v>481.7</v>
      </c>
      <c r="F13" s="125">
        <f>E13*D13</f>
        <v>0.38536000000000004</v>
      </c>
    </row>
    <row r="14" spans="1:8" ht="8.25" customHeight="1" x14ac:dyDescent="0.2">
      <c r="A14" s="337" t="s">
        <v>20</v>
      </c>
      <c r="B14" s="338"/>
      <c r="C14" s="338"/>
      <c r="D14" s="338"/>
      <c r="E14" s="338"/>
      <c r="F14" s="339"/>
    </row>
    <row r="15" spans="1:8" x14ac:dyDescent="0.2">
      <c r="A15" s="178">
        <v>88309</v>
      </c>
      <c r="B15" s="121" t="s">
        <v>171</v>
      </c>
      <c r="C15" s="122" t="s">
        <v>86</v>
      </c>
      <c r="D15" s="131">
        <v>1</v>
      </c>
      <c r="E15" s="124">
        <v>22.41</v>
      </c>
      <c r="F15" s="125">
        <f>E15*D15</f>
        <v>22.41</v>
      </c>
      <c r="G15" s="126"/>
    </row>
    <row r="16" spans="1:8" x14ac:dyDescent="0.2">
      <c r="A16" s="178">
        <v>88315</v>
      </c>
      <c r="B16" s="121" t="s">
        <v>143</v>
      </c>
      <c r="C16" s="122" t="s">
        <v>86</v>
      </c>
      <c r="D16" s="131">
        <v>2</v>
      </c>
      <c r="E16" s="124">
        <v>22.28</v>
      </c>
      <c r="F16" s="125"/>
      <c r="G16" s="126"/>
    </row>
    <row r="17" spans="1:7" x14ac:dyDescent="0.2">
      <c r="A17" s="178">
        <v>88316</v>
      </c>
      <c r="B17" s="121" t="s">
        <v>87</v>
      </c>
      <c r="C17" s="122" t="s">
        <v>86</v>
      </c>
      <c r="D17" s="131">
        <v>0.5</v>
      </c>
      <c r="E17" s="124">
        <v>17.82</v>
      </c>
      <c r="F17" s="125">
        <f t="shared" ref="F17" si="0">E17*D17</f>
        <v>8.91</v>
      </c>
      <c r="G17" s="126"/>
    </row>
    <row r="18" spans="1:7" x14ac:dyDescent="0.2">
      <c r="A18" s="178">
        <v>88317</v>
      </c>
      <c r="B18" s="121" t="s">
        <v>144</v>
      </c>
      <c r="C18" s="122" t="s">
        <v>86</v>
      </c>
      <c r="D18" s="131">
        <v>2</v>
      </c>
      <c r="E18" s="124">
        <v>23.1</v>
      </c>
      <c r="F18" s="125">
        <f t="shared" ref="F18" si="1">E18*D18</f>
        <v>46.2</v>
      </c>
      <c r="G18" s="126"/>
    </row>
    <row r="19" spans="1:7" ht="8.25" customHeight="1" x14ac:dyDescent="0.2">
      <c r="A19" s="373"/>
      <c r="B19" s="374"/>
      <c r="C19" s="374"/>
      <c r="D19" s="375"/>
      <c r="E19" s="64" t="s">
        <v>24</v>
      </c>
      <c r="F19" s="99">
        <f>SUM(F10:F18)</f>
        <v>600.42795999999998</v>
      </c>
    </row>
    <row r="20" spans="1:7" ht="10.5" customHeight="1" x14ac:dyDescent="0.2">
      <c r="A20" s="362" t="s">
        <v>88</v>
      </c>
      <c r="B20" s="363"/>
      <c r="C20" s="363"/>
      <c r="D20" s="363"/>
      <c r="E20" s="363"/>
      <c r="F20" s="364"/>
    </row>
    <row r="21" spans="1:7" ht="14.25" customHeight="1" x14ac:dyDescent="0.2">
      <c r="A21" s="365" t="s">
        <v>89</v>
      </c>
      <c r="B21" s="366"/>
      <c r="C21" s="366"/>
      <c r="D21" s="366"/>
      <c r="E21" s="366"/>
      <c r="F21" s="367"/>
    </row>
    <row r="22" spans="1:7" ht="24" customHeight="1" x14ac:dyDescent="0.2">
      <c r="A22" s="368" t="s">
        <v>180</v>
      </c>
      <c r="B22" s="369"/>
      <c r="C22" s="369"/>
      <c r="D22" s="369"/>
      <c r="E22" s="369"/>
      <c r="F22" s="370"/>
    </row>
    <row r="23" spans="1:7" ht="13.5" thickBot="1" x14ac:dyDescent="0.25">
      <c r="A23" s="128"/>
      <c r="B23" s="129"/>
      <c r="C23" s="129"/>
      <c r="D23" s="129"/>
      <c r="E23" s="129"/>
      <c r="F23" s="130"/>
    </row>
    <row r="24" spans="1:7" ht="9.6" customHeight="1" x14ac:dyDescent="0.2"/>
  </sheetData>
  <mergeCells count="15">
    <mergeCell ref="A4:F4"/>
    <mergeCell ref="A1:F1"/>
    <mergeCell ref="A2:A3"/>
    <mergeCell ref="B2:B3"/>
    <mergeCell ref="C2:D2"/>
    <mergeCell ref="E2:F3"/>
    <mergeCell ref="A19:D19"/>
    <mergeCell ref="A20:F20"/>
    <mergeCell ref="A21:F21"/>
    <mergeCell ref="A22:F22"/>
    <mergeCell ref="B5:E5"/>
    <mergeCell ref="B6:E6"/>
    <mergeCell ref="A7:F7"/>
    <mergeCell ref="B8:E8"/>
    <mergeCell ref="A14:F14"/>
  </mergeCells>
  <pageMargins left="0.25" right="0.25" top="0.75" bottom="0.75" header="0.3" footer="0.3"/>
  <pageSetup paperSize="9" scale="6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39"/>
  <sheetViews>
    <sheetView topLeftCell="A23" zoomScale="130" zoomScaleNormal="130" workbookViewId="0">
      <selection activeCell="L45" sqref="L45"/>
    </sheetView>
  </sheetViews>
  <sheetFormatPr defaultRowHeight="12.75" x14ac:dyDescent="0.2"/>
  <cols>
    <col min="1" max="1" width="8.1640625" style="109" customWidth="1"/>
    <col min="2" max="2" width="9.5" style="109" customWidth="1"/>
    <col min="3" max="3" width="52.33203125" style="109" customWidth="1"/>
    <col min="4" max="4" width="12.83203125" style="109" customWidth="1"/>
    <col min="5" max="5" width="7.83203125" style="109" customWidth="1"/>
    <col min="6" max="6" width="7" style="109" customWidth="1"/>
    <col min="7" max="8" width="9.1640625" style="109" customWidth="1"/>
    <col min="9" max="11" width="9.33203125" style="109"/>
    <col min="12" max="12" width="10.83203125" style="109" customWidth="1"/>
    <col min="13" max="13" width="7.33203125" style="109" bestFit="1" customWidth="1"/>
    <col min="14" max="14" width="10.1640625" style="109" bestFit="1" customWidth="1"/>
    <col min="15" max="16" width="9.33203125" style="109"/>
    <col min="17" max="17" width="16.83203125" style="109" customWidth="1"/>
    <col min="18" max="18" width="18" style="109" customWidth="1"/>
    <col min="19" max="16384" width="9.33203125" style="109"/>
  </cols>
  <sheetData>
    <row r="1" spans="1:18" ht="7.5" customHeight="1" thickBot="1" x14ac:dyDescent="0.25">
      <c r="A1" s="228"/>
      <c r="B1" s="229"/>
      <c r="C1" s="229"/>
      <c r="D1" s="229"/>
      <c r="E1" s="229"/>
      <c r="F1" s="229"/>
      <c r="G1" s="229"/>
      <c r="H1" s="230"/>
    </row>
    <row r="2" spans="1:18" ht="30" customHeight="1" x14ac:dyDescent="0.2">
      <c r="A2" s="408"/>
      <c r="B2" s="409"/>
      <c r="C2" s="410" t="s">
        <v>73</v>
      </c>
      <c r="D2" s="413" t="s">
        <v>147</v>
      </c>
      <c r="E2" s="414"/>
      <c r="F2" s="415"/>
      <c r="G2" s="382"/>
      <c r="H2" s="383"/>
    </row>
    <row r="3" spans="1:18" x14ac:dyDescent="0.2">
      <c r="A3" s="408"/>
      <c r="B3" s="409"/>
      <c r="C3" s="411"/>
      <c r="D3" s="416" t="s">
        <v>1</v>
      </c>
      <c r="E3" s="417"/>
      <c r="F3" s="418"/>
      <c r="G3" s="382"/>
      <c r="H3" s="383"/>
    </row>
    <row r="4" spans="1:18" ht="16.5" customHeight="1" thickBot="1" x14ac:dyDescent="0.25">
      <c r="A4" s="408"/>
      <c r="B4" s="409"/>
      <c r="C4" s="412"/>
      <c r="D4" s="138" t="s">
        <v>2</v>
      </c>
      <c r="E4" s="419">
        <f>F27</f>
        <v>0.23535496426352442</v>
      </c>
      <c r="F4" s="420"/>
      <c r="G4" s="382"/>
      <c r="H4" s="383"/>
    </row>
    <row r="5" spans="1:18" ht="9.75" customHeight="1" thickBot="1" x14ac:dyDescent="0.25">
      <c r="A5" s="421" t="s">
        <v>68</v>
      </c>
      <c r="B5" s="422"/>
      <c r="C5" s="422"/>
      <c r="D5" s="422"/>
      <c r="E5" s="422"/>
      <c r="F5" s="422"/>
      <c r="G5" s="422"/>
      <c r="H5" s="423"/>
    </row>
    <row r="6" spans="1:18" ht="26.25" customHeight="1" x14ac:dyDescent="0.2">
      <c r="A6" s="139" t="s">
        <v>3</v>
      </c>
      <c r="B6" s="371" t="s">
        <v>146</v>
      </c>
      <c r="C6" s="371"/>
      <c r="D6" s="371"/>
      <c r="E6" s="371"/>
      <c r="F6" s="371"/>
      <c r="G6" s="371"/>
      <c r="H6" s="114" t="s">
        <v>75</v>
      </c>
    </row>
    <row r="7" spans="1:18" ht="11.1" customHeight="1" thickBot="1" x14ac:dyDescent="0.25">
      <c r="A7" s="139" t="s">
        <v>64</v>
      </c>
      <c r="B7" s="424" t="s">
        <v>148</v>
      </c>
      <c r="C7" s="424"/>
      <c r="D7" s="424"/>
      <c r="E7" s="424"/>
      <c r="F7" s="424"/>
      <c r="G7" s="424"/>
      <c r="H7" s="30">
        <f ca="1">TODAY()</f>
        <v>44734</v>
      </c>
    </row>
    <row r="8" spans="1:18" ht="13.5" customHeight="1" thickBot="1" x14ac:dyDescent="0.25">
      <c r="A8" s="251" t="s">
        <v>79</v>
      </c>
      <c r="B8" s="252"/>
      <c r="C8" s="252"/>
      <c r="D8" s="252"/>
      <c r="E8" s="252"/>
      <c r="F8" s="252"/>
      <c r="G8" s="252"/>
      <c r="H8" s="253"/>
    </row>
    <row r="9" spans="1:18" ht="12.75" customHeight="1" thickBot="1" x14ac:dyDescent="0.25">
      <c r="A9" s="425" t="s">
        <v>29</v>
      </c>
      <c r="B9" s="427" t="s">
        <v>30</v>
      </c>
      <c r="C9" s="428"/>
      <c r="D9" s="428"/>
      <c r="E9" s="429"/>
      <c r="F9" s="427" t="s">
        <v>31</v>
      </c>
      <c r="G9" s="428"/>
      <c r="H9" s="429"/>
      <c r="P9" s="209"/>
      <c r="Q9" s="209"/>
      <c r="R9" s="209"/>
    </row>
    <row r="10" spans="1:18" ht="13.5" customHeight="1" thickBot="1" x14ac:dyDescent="0.25">
      <c r="A10" s="426"/>
      <c r="B10" s="430"/>
      <c r="C10" s="431"/>
      <c r="D10" s="431"/>
      <c r="E10" s="432"/>
      <c r="F10" s="430" t="s">
        <v>32</v>
      </c>
      <c r="G10" s="431"/>
      <c r="H10" s="432"/>
      <c r="L10" s="390" t="s">
        <v>111</v>
      </c>
      <c r="M10" s="391"/>
      <c r="N10" s="392"/>
      <c r="O10" s="140"/>
      <c r="P10" s="212"/>
      <c r="Q10" s="212"/>
      <c r="R10" s="212"/>
    </row>
    <row r="11" spans="1:18" ht="8.25" customHeight="1" x14ac:dyDescent="0.2">
      <c r="A11" s="56">
        <v>1</v>
      </c>
      <c r="B11" s="402" t="s">
        <v>33</v>
      </c>
      <c r="C11" s="403"/>
      <c r="D11" s="403"/>
      <c r="E11" s="403"/>
      <c r="F11" s="400">
        <f>SUM(F12:H15)</f>
        <v>7.3000000000000007</v>
      </c>
      <c r="G11" s="400"/>
      <c r="H11" s="401"/>
      <c r="I11" s="141">
        <f>1+F12/100+F14/100+F13/100</f>
        <v>1.0607</v>
      </c>
      <c r="L11" s="142" t="s">
        <v>112</v>
      </c>
      <c r="M11" s="143" t="s">
        <v>113</v>
      </c>
      <c r="N11" s="144" t="s">
        <v>114</v>
      </c>
      <c r="O11" s="140"/>
      <c r="P11" s="210"/>
      <c r="Q11" s="210"/>
      <c r="R11" s="211"/>
    </row>
    <row r="12" spans="1:18" ht="8.25" customHeight="1" x14ac:dyDescent="0.2">
      <c r="A12" s="145" t="s">
        <v>34</v>
      </c>
      <c r="B12" s="404" t="s">
        <v>35</v>
      </c>
      <c r="C12" s="405"/>
      <c r="D12" s="405"/>
      <c r="E12" s="405"/>
      <c r="F12" s="406">
        <v>4</v>
      </c>
      <c r="G12" s="406"/>
      <c r="H12" s="407"/>
      <c r="I12" s="141">
        <f>1+F18/100</f>
        <v>1.0740000000000001</v>
      </c>
      <c r="L12" s="146">
        <v>0.03</v>
      </c>
      <c r="M12" s="147">
        <v>0.04</v>
      </c>
      <c r="N12" s="148">
        <v>5.5E-2</v>
      </c>
      <c r="O12" s="140"/>
      <c r="P12" s="210"/>
      <c r="Q12" s="210"/>
      <c r="R12" s="211"/>
    </row>
    <row r="13" spans="1:18" ht="8.25" customHeight="1" x14ac:dyDescent="0.2">
      <c r="A13" s="145" t="s">
        <v>36</v>
      </c>
      <c r="B13" s="404" t="s">
        <v>37</v>
      </c>
      <c r="C13" s="405"/>
      <c r="D13" s="405"/>
      <c r="E13" s="405"/>
      <c r="F13" s="406">
        <v>0.8</v>
      </c>
      <c r="G13" s="406"/>
      <c r="H13" s="407"/>
      <c r="I13" s="141">
        <f>1+F15/100</f>
        <v>1.0123</v>
      </c>
      <c r="L13" s="146">
        <v>8.0000000000000002E-3</v>
      </c>
      <c r="M13" s="147">
        <v>8.0000000000000002E-3</v>
      </c>
      <c r="N13" s="148">
        <v>0.01</v>
      </c>
      <c r="O13" s="140"/>
      <c r="P13" s="210"/>
      <c r="Q13" s="210"/>
      <c r="R13" s="210"/>
    </row>
    <row r="14" spans="1:18" ht="8.25" customHeight="1" x14ac:dyDescent="0.2">
      <c r="A14" s="145" t="s">
        <v>38</v>
      </c>
      <c r="B14" s="404" t="s">
        <v>39</v>
      </c>
      <c r="C14" s="405"/>
      <c r="D14" s="405"/>
      <c r="E14" s="405"/>
      <c r="F14" s="406">
        <v>1.27</v>
      </c>
      <c r="G14" s="406"/>
      <c r="H14" s="407"/>
      <c r="I14" s="141">
        <f>1-F20/100</f>
        <v>0.9335</v>
      </c>
      <c r="L14" s="146">
        <v>9.7000000000000003E-3</v>
      </c>
      <c r="M14" s="147">
        <v>1.2699999999999999E-2</v>
      </c>
      <c r="N14" s="148">
        <v>1.2699999999999999E-2</v>
      </c>
      <c r="O14" s="140"/>
      <c r="P14" s="210"/>
      <c r="Q14" s="210"/>
      <c r="R14" s="210"/>
    </row>
    <row r="15" spans="1:18" ht="8.25" customHeight="1" thickBot="1" x14ac:dyDescent="0.25">
      <c r="A15" s="145" t="s">
        <v>40</v>
      </c>
      <c r="B15" s="404" t="s">
        <v>41</v>
      </c>
      <c r="C15" s="405"/>
      <c r="D15" s="405"/>
      <c r="E15" s="405"/>
      <c r="F15" s="406">
        <v>1.23</v>
      </c>
      <c r="G15" s="406"/>
      <c r="H15" s="407"/>
      <c r="I15" s="141">
        <f>I11*I12*I13/I14</f>
        <v>1.2353549642635244</v>
      </c>
      <c r="L15" s="149">
        <v>5.8999999999999999E-3</v>
      </c>
      <c r="M15" s="150">
        <v>1.23E-2</v>
      </c>
      <c r="N15" s="151">
        <v>1.3899999999999999E-2</v>
      </c>
      <c r="O15" s="140"/>
      <c r="P15" s="210"/>
      <c r="Q15" s="210"/>
      <c r="R15" s="210"/>
    </row>
    <row r="16" spans="1:18" ht="8.1" customHeight="1" x14ac:dyDescent="0.2">
      <c r="A16" s="433"/>
      <c r="B16" s="434"/>
      <c r="C16" s="434"/>
      <c r="D16" s="434"/>
      <c r="E16" s="434"/>
      <c r="F16" s="434"/>
      <c r="G16" s="434"/>
      <c r="H16" s="435"/>
      <c r="I16" s="152">
        <f>I15-1</f>
        <v>0.23535496426352442</v>
      </c>
      <c r="L16" s="140"/>
      <c r="M16" s="140"/>
      <c r="N16" s="140"/>
      <c r="O16" s="140"/>
      <c r="P16" s="212"/>
      <c r="Q16" s="212"/>
      <c r="R16" s="212"/>
    </row>
    <row r="17" spans="1:18" ht="8.25" customHeight="1" thickBot="1" x14ac:dyDescent="0.25">
      <c r="A17" s="57" t="s">
        <v>42</v>
      </c>
      <c r="B17" s="436" t="s">
        <v>43</v>
      </c>
      <c r="C17" s="437"/>
      <c r="D17" s="437"/>
      <c r="E17" s="437"/>
      <c r="F17" s="400">
        <f>SUM(F18)</f>
        <v>7.4</v>
      </c>
      <c r="G17" s="400"/>
      <c r="H17" s="401"/>
      <c r="L17" s="140"/>
      <c r="M17" s="140"/>
      <c r="N17" s="140"/>
      <c r="O17" s="140"/>
      <c r="P17" s="210"/>
      <c r="Q17" s="210"/>
      <c r="R17" s="211"/>
    </row>
    <row r="18" spans="1:18" ht="8.25" customHeight="1" thickBot="1" x14ac:dyDescent="0.25">
      <c r="A18" s="145" t="s">
        <v>44</v>
      </c>
      <c r="B18" s="404" t="s">
        <v>45</v>
      </c>
      <c r="C18" s="405"/>
      <c r="D18" s="405"/>
      <c r="E18" s="405"/>
      <c r="F18" s="406">
        <v>7.4</v>
      </c>
      <c r="G18" s="406"/>
      <c r="H18" s="407"/>
      <c r="L18" s="153">
        <v>6.1600000000000002E-2</v>
      </c>
      <c r="M18" s="154">
        <v>7.400000000000001E-2</v>
      </c>
      <c r="N18" s="155">
        <v>8.9600000000000013E-2</v>
      </c>
      <c r="O18" s="140"/>
      <c r="P18" s="210"/>
      <c r="Q18" s="210"/>
      <c r="R18" s="211"/>
    </row>
    <row r="19" spans="1:18" ht="8.1" customHeight="1" x14ac:dyDescent="0.2">
      <c r="A19" s="433"/>
      <c r="B19" s="434"/>
      <c r="C19" s="434"/>
      <c r="D19" s="434"/>
      <c r="E19" s="434"/>
      <c r="F19" s="434"/>
      <c r="G19" s="434"/>
      <c r="H19" s="435"/>
      <c r="L19" s="140"/>
      <c r="M19" s="140"/>
      <c r="N19" s="140"/>
      <c r="O19" s="140"/>
      <c r="P19" s="210"/>
      <c r="Q19" s="210"/>
      <c r="R19" s="210"/>
    </row>
    <row r="20" spans="1:18" ht="8.25" customHeight="1" x14ac:dyDescent="0.2">
      <c r="A20" s="57" t="s">
        <v>46</v>
      </c>
      <c r="B20" s="436" t="s">
        <v>47</v>
      </c>
      <c r="C20" s="437"/>
      <c r="D20" s="437"/>
      <c r="E20" s="437"/>
      <c r="F20" s="400">
        <f>SUM(F21:H24)</f>
        <v>6.65</v>
      </c>
      <c r="G20" s="400"/>
      <c r="H20" s="401"/>
      <c r="L20" s="140"/>
      <c r="M20" s="140"/>
      <c r="N20" s="140"/>
      <c r="O20" s="140"/>
      <c r="P20" s="210"/>
      <c r="Q20" s="210"/>
      <c r="R20" s="210"/>
    </row>
    <row r="21" spans="1:18" ht="8.25" customHeight="1" x14ac:dyDescent="0.2">
      <c r="A21" s="145" t="s">
        <v>48</v>
      </c>
      <c r="B21" s="438" t="s">
        <v>49</v>
      </c>
      <c r="C21" s="439"/>
      <c r="D21" s="439"/>
      <c r="E21" s="439"/>
      <c r="F21" s="406">
        <f>5*0.6</f>
        <v>3</v>
      </c>
      <c r="G21" s="406"/>
      <c r="H21" s="407"/>
    </row>
    <row r="22" spans="1:18" ht="8.25" customHeight="1" x14ac:dyDescent="0.2">
      <c r="A22" s="145" t="s">
        <v>50</v>
      </c>
      <c r="B22" s="438" t="s">
        <v>51</v>
      </c>
      <c r="C22" s="439"/>
      <c r="D22" s="439"/>
      <c r="E22" s="439"/>
      <c r="F22" s="406">
        <v>3</v>
      </c>
      <c r="G22" s="406"/>
      <c r="H22" s="407"/>
    </row>
    <row r="23" spans="1:18" ht="8.25" customHeight="1" x14ac:dyDescent="0.2">
      <c r="A23" s="145" t="s">
        <v>52</v>
      </c>
      <c r="B23" s="438" t="s">
        <v>53</v>
      </c>
      <c r="C23" s="439"/>
      <c r="D23" s="439"/>
      <c r="E23" s="439"/>
      <c r="F23" s="406">
        <v>0.65</v>
      </c>
      <c r="G23" s="406"/>
      <c r="H23" s="407"/>
    </row>
    <row r="24" spans="1:18" ht="8.25" customHeight="1" x14ac:dyDescent="0.2">
      <c r="A24" s="145" t="s">
        <v>54</v>
      </c>
      <c r="B24" s="438" t="s">
        <v>55</v>
      </c>
      <c r="C24" s="439"/>
      <c r="D24" s="439"/>
      <c r="E24" s="439"/>
      <c r="F24" s="406">
        <v>0</v>
      </c>
      <c r="G24" s="406"/>
      <c r="H24" s="407"/>
    </row>
    <row r="25" spans="1:18" ht="9.6" customHeight="1" x14ac:dyDescent="0.2">
      <c r="A25" s="440" t="s">
        <v>115</v>
      </c>
      <c r="B25" s="441"/>
      <c r="C25" s="441"/>
      <c r="D25" s="441"/>
      <c r="E25" s="441"/>
      <c r="F25" s="441"/>
      <c r="G25" s="441"/>
      <c r="H25" s="442"/>
    </row>
    <row r="26" spans="1:18" ht="12" customHeight="1" thickBot="1" x14ac:dyDescent="0.25">
      <c r="A26" s="440" t="s">
        <v>56</v>
      </c>
      <c r="B26" s="441"/>
      <c r="C26" s="441"/>
      <c r="D26" s="441"/>
      <c r="E26" s="441"/>
      <c r="F26" s="441"/>
      <c r="G26" s="441"/>
      <c r="H26" s="442"/>
    </row>
    <row r="27" spans="1:18" ht="20.25" customHeight="1" thickBot="1" x14ac:dyDescent="0.25">
      <c r="A27" s="446" t="s">
        <v>80</v>
      </c>
      <c r="B27" s="447"/>
      <c r="C27" s="447"/>
      <c r="D27" s="447"/>
      <c r="E27" s="447"/>
      <c r="F27" s="448">
        <f>I16</f>
        <v>0.23535496426352442</v>
      </c>
      <c r="G27" s="449"/>
      <c r="H27" s="450"/>
    </row>
    <row r="28" spans="1:18" ht="8.25" customHeight="1" x14ac:dyDescent="0.2">
      <c r="A28" s="397"/>
      <c r="B28" s="398"/>
      <c r="C28" s="398"/>
      <c r="D28" s="398"/>
      <c r="E28" s="398"/>
      <c r="F28" s="398"/>
      <c r="G28" s="398"/>
      <c r="H28" s="399"/>
    </row>
    <row r="29" spans="1:18" ht="8.25" customHeight="1" x14ac:dyDescent="0.2">
      <c r="A29" s="397" t="s">
        <v>57</v>
      </c>
      <c r="B29" s="398"/>
      <c r="C29" s="398"/>
      <c r="D29" s="398"/>
      <c r="E29" s="398"/>
      <c r="F29" s="398"/>
      <c r="G29" s="398"/>
      <c r="H29" s="399"/>
    </row>
    <row r="30" spans="1:18" ht="8.4499999999999993" customHeight="1" thickBot="1" x14ac:dyDescent="0.25">
      <c r="A30" s="451" t="s">
        <v>58</v>
      </c>
      <c r="B30" s="452"/>
      <c r="C30" s="452"/>
      <c r="D30" s="452"/>
      <c r="E30" s="452"/>
      <c r="F30" s="452"/>
      <c r="G30" s="452"/>
      <c r="H30" s="453"/>
    </row>
    <row r="31" spans="1:18" ht="16.5" customHeight="1" x14ac:dyDescent="0.2">
      <c r="A31" s="156"/>
      <c r="B31" s="157"/>
      <c r="C31" s="158"/>
      <c r="D31" s="158"/>
      <c r="E31" s="158"/>
      <c r="F31" s="158"/>
      <c r="G31" s="158"/>
      <c r="H31" s="159"/>
    </row>
    <row r="32" spans="1:18" ht="8.25" customHeight="1" x14ac:dyDescent="0.2">
      <c r="A32" s="160"/>
      <c r="B32" s="393" t="s">
        <v>116</v>
      </c>
      <c r="C32" s="394" t="s">
        <v>117</v>
      </c>
      <c r="D32" s="394"/>
      <c r="E32" s="394"/>
      <c r="F32" s="394"/>
      <c r="G32" s="395">
        <v>-1</v>
      </c>
      <c r="H32" s="161"/>
    </row>
    <row r="33" spans="1:8" ht="6.6" customHeight="1" x14ac:dyDescent="0.2">
      <c r="A33" s="160"/>
      <c r="B33" s="393"/>
      <c r="C33" s="396" t="s">
        <v>118</v>
      </c>
      <c r="D33" s="396"/>
      <c r="E33" s="396"/>
      <c r="F33" s="396"/>
      <c r="G33" s="395"/>
      <c r="H33" s="161"/>
    </row>
    <row r="34" spans="1:8" ht="8.4499999999999993" customHeight="1" thickBot="1" x14ac:dyDescent="0.25">
      <c r="A34" s="160"/>
      <c r="B34" s="162"/>
      <c r="C34" s="163"/>
      <c r="D34" s="164"/>
      <c r="E34" s="165"/>
      <c r="F34" s="165"/>
      <c r="G34" s="165"/>
      <c r="H34" s="161"/>
    </row>
    <row r="35" spans="1:8" ht="9.6" customHeight="1" thickBot="1" x14ac:dyDescent="0.25">
      <c r="A35" s="160"/>
      <c r="B35" s="443" t="s">
        <v>119</v>
      </c>
      <c r="C35" s="444"/>
      <c r="D35" s="444"/>
      <c r="E35" s="444"/>
      <c r="F35" s="444"/>
      <c r="G35" s="445"/>
      <c r="H35" s="161"/>
    </row>
    <row r="36" spans="1:8" ht="8.4499999999999993" customHeight="1" thickBot="1" x14ac:dyDescent="0.25">
      <c r="A36" s="160"/>
      <c r="B36" s="166">
        <v>0.05</v>
      </c>
      <c r="C36" s="388" t="s">
        <v>120</v>
      </c>
      <c r="D36" s="388"/>
      <c r="E36" s="388"/>
      <c r="F36" s="388"/>
      <c r="G36" s="389"/>
      <c r="H36" s="161"/>
    </row>
    <row r="37" spans="1:8" ht="9.6" customHeight="1" thickBot="1" x14ac:dyDescent="0.25">
      <c r="A37" s="160"/>
      <c r="B37" s="165"/>
      <c r="C37" s="167"/>
      <c r="D37" s="167"/>
      <c r="E37" s="167"/>
      <c r="F37" s="167"/>
      <c r="G37" s="167"/>
      <c r="H37" s="161"/>
    </row>
    <row r="38" spans="1:8" ht="8.25" customHeight="1" thickBot="1" x14ac:dyDescent="0.25">
      <c r="A38" s="160"/>
      <c r="B38" s="168">
        <v>0.6</v>
      </c>
      <c r="C38" s="388" t="s">
        <v>121</v>
      </c>
      <c r="D38" s="388"/>
      <c r="E38" s="388"/>
      <c r="F38" s="388"/>
      <c r="G38" s="389"/>
      <c r="H38" s="161"/>
    </row>
    <row r="39" spans="1:8" ht="48" customHeight="1" thickBot="1" x14ac:dyDescent="0.25">
      <c r="A39" s="169"/>
      <c r="B39" s="170"/>
      <c r="C39" s="171"/>
      <c r="D39" s="172"/>
      <c r="E39" s="172"/>
      <c r="F39" s="172"/>
      <c r="G39" s="172"/>
      <c r="H39" s="173"/>
    </row>
  </sheetData>
  <mergeCells count="56">
    <mergeCell ref="B35:G35"/>
    <mergeCell ref="C36:G36"/>
    <mergeCell ref="A27:E27"/>
    <mergeCell ref="A26:H26"/>
    <mergeCell ref="F27:H27"/>
    <mergeCell ref="A29:H29"/>
    <mergeCell ref="A30:H30"/>
    <mergeCell ref="B23:E23"/>
    <mergeCell ref="B24:E24"/>
    <mergeCell ref="F23:H23"/>
    <mergeCell ref="F24:H24"/>
    <mergeCell ref="A25:H25"/>
    <mergeCell ref="A19:H19"/>
    <mergeCell ref="B20:E20"/>
    <mergeCell ref="B21:E21"/>
    <mergeCell ref="B22:E22"/>
    <mergeCell ref="F20:H20"/>
    <mergeCell ref="F21:H21"/>
    <mergeCell ref="F22:H22"/>
    <mergeCell ref="F15:H15"/>
    <mergeCell ref="A16:H16"/>
    <mergeCell ref="B17:E17"/>
    <mergeCell ref="B18:E18"/>
    <mergeCell ref="F17:H17"/>
    <mergeCell ref="F18:H18"/>
    <mergeCell ref="A5:H5"/>
    <mergeCell ref="B6:G6"/>
    <mergeCell ref="B7:G7"/>
    <mergeCell ref="A9:A10"/>
    <mergeCell ref="B9:E10"/>
    <mergeCell ref="A8:H8"/>
    <mergeCell ref="F9:H9"/>
    <mergeCell ref="F10:H10"/>
    <mergeCell ref="A1:H1"/>
    <mergeCell ref="A2:B4"/>
    <mergeCell ref="C2:C4"/>
    <mergeCell ref="D2:F2"/>
    <mergeCell ref="G2:H4"/>
    <mergeCell ref="D3:F3"/>
    <mergeCell ref="E4:F4"/>
    <mergeCell ref="C38:G38"/>
    <mergeCell ref="L10:N10"/>
    <mergeCell ref="B32:B33"/>
    <mergeCell ref="C32:F32"/>
    <mergeCell ref="G32:G33"/>
    <mergeCell ref="C33:F33"/>
    <mergeCell ref="A28:H28"/>
    <mergeCell ref="F11:H11"/>
    <mergeCell ref="B11:E11"/>
    <mergeCell ref="B12:E12"/>
    <mergeCell ref="B13:E13"/>
    <mergeCell ref="F13:H13"/>
    <mergeCell ref="F12:H12"/>
    <mergeCell ref="B14:E14"/>
    <mergeCell ref="B15:E15"/>
    <mergeCell ref="F14:H14"/>
  </mergeCells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RESUMO ORÇ.</vt:lpstr>
      <vt:lpstr>PLANILHA ORÇAMENTÁRIA</vt:lpstr>
      <vt:lpstr>QUANTITATIVOS</vt:lpstr>
      <vt:lpstr>COMPOSIÇÃO I </vt:lpstr>
      <vt:lpstr>COMPOSIÇÃO II</vt:lpstr>
      <vt:lpstr>COMPOSIÇÃO III</vt:lpstr>
      <vt:lpstr>COMPOSIÇÃO IV</vt:lpstr>
      <vt:lpstr>COMPOSIÇÃO V</vt:lpstr>
      <vt:lpstr>BDI</vt:lpstr>
      <vt:lpstr>CRONOGRAMA </vt:lpstr>
      <vt:lpstr>Qnt. Estrutural</vt:lpstr>
      <vt:lpstr>Tabela de Esquadria</vt:lpstr>
      <vt:lpstr>Quadro de Areas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Convidado</dc:creator>
  <cp:lastModifiedBy>LICITAÇAO</cp:lastModifiedBy>
  <cp:lastPrinted>2022-06-15T12:43:44Z</cp:lastPrinted>
  <dcterms:created xsi:type="dcterms:W3CDTF">2020-09-10T11:28:25Z</dcterms:created>
  <dcterms:modified xsi:type="dcterms:W3CDTF">2022-06-22T13:37:56Z</dcterms:modified>
</cp:coreProperties>
</file>