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0730" windowHeight="11760"/>
  </bookViews>
  <sheets>
    <sheet name="RESUMO ORÇAMENTO" sheetId="1" r:id="rId1"/>
    <sheet name="PLANILHA ORÇAMENTÁRIA " sheetId="2" r:id="rId2"/>
    <sheet name="CRONOGRAMA " sheetId="32" r:id="rId3"/>
    <sheet name="BDI" sheetId="20" r:id="rId4"/>
    <sheet name="COMPOSIÇÃO I" sheetId="8" r:id="rId5"/>
    <sheet name="COMPOSIÇÃO II" sheetId="34" r:id="rId6"/>
    <sheet name="COMPOSIÇÁO III" sheetId="39" r:id="rId7"/>
    <sheet name="COMPOSIÇÃO IV" sheetId="38" r:id="rId8"/>
  </sheets>
  <externalReferences>
    <externalReference r:id="rId9"/>
    <externalReference r:id="rId10"/>
    <externalReference r:id="rId11"/>
  </externalReferenc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7" i="2" l="1"/>
  <c r="E25" i="2"/>
  <c r="E24" i="2" l="1"/>
  <c r="F22" i="2"/>
  <c r="F15" i="39"/>
  <c r="E22" i="2"/>
  <c r="F11" i="39"/>
  <c r="F14" i="39"/>
  <c r="F13" i="39"/>
  <c r="F6" i="39"/>
  <c r="F21" i="20"/>
  <c r="D12" i="8"/>
  <c r="D11" i="8"/>
  <c r="E16" i="2"/>
  <c r="K53" i="2"/>
  <c r="E53" i="2" s="1"/>
  <c r="E54" i="2" s="1"/>
  <c r="M98" i="2" l="1"/>
  <c r="M99" i="2" s="1"/>
  <c r="E29" i="2" s="1"/>
  <c r="E30" i="2" s="1"/>
  <c r="E28" i="2" s="1"/>
  <c r="N80" i="2"/>
  <c r="E36" i="2" s="1"/>
  <c r="P15" i="38"/>
  <c r="P14" i="38"/>
  <c r="P13" i="38"/>
  <c r="O23" i="2"/>
  <c r="N23" i="2"/>
  <c r="M23" i="2"/>
  <c r="R53" i="2"/>
  <c r="R55" i="2" s="1"/>
  <c r="Q53" i="2"/>
  <c r="Q55" i="2" s="1"/>
  <c r="E41" i="2"/>
  <c r="F16" i="38"/>
  <c r="O15" i="38"/>
  <c r="M15" i="38"/>
  <c r="N15" i="38" s="1"/>
  <c r="F15" i="38"/>
  <c r="O14" i="38"/>
  <c r="N14" i="38"/>
  <c r="M14" i="38"/>
  <c r="O13" i="38"/>
  <c r="M13" i="38"/>
  <c r="N13" i="38" s="1"/>
  <c r="F13" i="38"/>
  <c r="F12" i="38"/>
  <c r="F6" i="38"/>
  <c r="D3" i="38"/>
  <c r="P23" i="2" l="1"/>
  <c r="E33" i="2" s="1"/>
  <c r="S55" i="2"/>
  <c r="P16" i="38"/>
  <c r="D17" i="38" s="1"/>
  <c r="F17" i="38" s="1"/>
  <c r="O16" i="38"/>
  <c r="F23" i="38" s="1"/>
  <c r="D20" i="38" s="1"/>
  <c r="F20" i="38" s="1"/>
  <c r="N16" i="38"/>
  <c r="D11" i="38" s="1"/>
  <c r="F11" i="38" s="1"/>
  <c r="F24" i="38" l="1"/>
  <c r="D19" i="38" s="1"/>
  <c r="F19" i="38" s="1"/>
  <c r="F21" i="38" s="1"/>
  <c r="F49" i="2" s="1"/>
  <c r="F6" i="34"/>
  <c r="H7" i="20"/>
  <c r="B18" i="32"/>
  <c r="B17" i="32"/>
  <c r="B16" i="32"/>
  <c r="B15" i="32"/>
  <c r="B14" i="32"/>
  <c r="B13" i="32"/>
  <c r="B11" i="32"/>
  <c r="B10" i="32"/>
  <c r="B17" i="1"/>
  <c r="B16" i="1"/>
  <c r="B15" i="1"/>
  <c r="B14" i="1"/>
  <c r="B13" i="1"/>
  <c r="B12" i="1"/>
  <c r="B10" i="1"/>
  <c r="B9" i="1"/>
  <c r="F6" i="8"/>
  <c r="L7" i="32"/>
  <c r="E18" i="2"/>
  <c r="E44" i="2"/>
  <c r="E51" i="2"/>
  <c r="E19" i="2"/>
  <c r="E20" i="2"/>
  <c r="E45" i="2" l="1"/>
  <c r="S75" i="2" l="1"/>
  <c r="U66" i="2"/>
  <c r="D16" i="2"/>
  <c r="F17" i="34"/>
  <c r="F16" i="34"/>
  <c r="F15" i="34"/>
  <c r="F14" i="34"/>
  <c r="F13" i="34"/>
  <c r="F12" i="34"/>
  <c r="F11" i="34"/>
  <c r="A18" i="32"/>
  <c r="A17" i="32"/>
  <c r="A16" i="32"/>
  <c r="A15" i="32"/>
  <c r="A14" i="32"/>
  <c r="A13" i="32"/>
  <c r="A12" i="32"/>
  <c r="A11" i="32"/>
  <c r="A10" i="32"/>
  <c r="F12" i="8"/>
  <c r="F11" i="8"/>
  <c r="F20" i="20"/>
  <c r="I14" i="20" s="1"/>
  <c r="F17" i="20"/>
  <c r="I13" i="20"/>
  <c r="I12" i="20"/>
  <c r="I11" i="20"/>
  <c r="F11" i="20"/>
  <c r="F18" i="34" l="1"/>
  <c r="F16" i="2" s="1"/>
  <c r="U69" i="2"/>
  <c r="U75" i="2"/>
  <c r="U74" i="2"/>
  <c r="F13" i="8"/>
  <c r="F13" i="2" s="1"/>
  <c r="I15" i="20"/>
  <c r="I16" i="20" s="1"/>
  <c r="F27" i="20" s="1"/>
  <c r="E4" i="20" s="1"/>
  <c r="D3" i="39" s="1"/>
  <c r="E4" i="1" l="1"/>
  <c r="E4" i="2"/>
  <c r="G49" i="2" s="1"/>
  <c r="H49" i="2" s="1"/>
  <c r="D3" i="34"/>
  <c r="D3" i="8"/>
  <c r="J4" i="32"/>
  <c r="G16" i="2" l="1"/>
  <c r="H16" i="2" s="1"/>
  <c r="G36" i="2"/>
  <c r="H36" i="2" s="1"/>
  <c r="G55" i="2"/>
  <c r="G32" i="2"/>
  <c r="G44" i="2"/>
  <c r="H44" i="2" s="1"/>
  <c r="G54" i="2"/>
  <c r="H54" i="2" s="1"/>
  <c r="G53" i="2"/>
  <c r="H53" i="2" s="1"/>
  <c r="G47" i="2"/>
  <c r="H47" i="2" s="1"/>
  <c r="G57" i="2"/>
  <c r="H57" i="2" s="1"/>
  <c r="G58" i="2"/>
  <c r="H58" i="2" s="1"/>
  <c r="G29" i="2"/>
  <c r="H29" i="2" s="1"/>
  <c r="G51" i="2"/>
  <c r="H51" i="2" s="1"/>
  <c r="H50" i="2" s="1"/>
  <c r="G18" i="2"/>
  <c r="H18" i="2" s="1"/>
  <c r="G22" i="2"/>
  <c r="H22" i="2" s="1"/>
  <c r="G41" i="2"/>
  <c r="H41" i="2" s="1"/>
  <c r="G46" i="2"/>
  <c r="H46" i="2" s="1"/>
  <c r="G30" i="2"/>
  <c r="H30" i="2" s="1"/>
  <c r="G45" i="2"/>
  <c r="H45" i="2" s="1"/>
  <c r="H7" i="1"/>
  <c r="G28" i="2"/>
  <c r="H7" i="2"/>
  <c r="G39" i="2"/>
  <c r="G37" i="2"/>
  <c r="G34" i="2"/>
  <c r="G33" i="2"/>
  <c r="H42" i="2" l="1"/>
  <c r="H56" i="2"/>
  <c r="E18" i="32" s="1"/>
  <c r="L18" i="32" s="1"/>
  <c r="E16" i="32"/>
  <c r="G15" i="1"/>
  <c r="B11" i="1"/>
  <c r="B12" i="32"/>
  <c r="H28" i="2"/>
  <c r="H39" i="2"/>
  <c r="H37" i="2"/>
  <c r="G17" i="1" l="1"/>
  <c r="H18" i="32"/>
  <c r="J18" i="32"/>
  <c r="L16" i="32"/>
  <c r="H16" i="32"/>
  <c r="J16" i="32"/>
  <c r="E15" i="32"/>
  <c r="G14" i="1"/>
  <c r="J15" i="32" l="1"/>
  <c r="L15" i="32"/>
  <c r="H15" i="32"/>
  <c r="G20" i="2"/>
  <c r="G25" i="2" l="1"/>
  <c r="G24" i="2"/>
  <c r="G19" i="2"/>
  <c r="G13" i="2" l="1"/>
  <c r="H13" i="2" s="1"/>
  <c r="H12" i="2" s="1"/>
  <c r="H21" i="2"/>
  <c r="H24" i="2"/>
  <c r="H25" i="2"/>
  <c r="H19" i="2"/>
  <c r="E12" i="32" l="1"/>
  <c r="G11" i="1"/>
  <c r="G9" i="1"/>
  <c r="E10" i="32"/>
  <c r="H10" i="32" s="1"/>
  <c r="H23" i="2"/>
  <c r="H20" i="2"/>
  <c r="L12" i="32" l="1"/>
  <c r="H12" i="32"/>
  <c r="J12" i="32"/>
  <c r="G12" i="1"/>
  <c r="E13" i="32"/>
  <c r="L10" i="32"/>
  <c r="J10" i="32"/>
  <c r="H14" i="2"/>
  <c r="L13" i="32" l="1"/>
  <c r="H13" i="32"/>
  <c r="J13" i="32"/>
  <c r="G10" i="1"/>
  <c r="E11" i="32"/>
  <c r="J11" i="32" l="1"/>
  <c r="L11" i="32"/>
  <c r="H11" i="32"/>
  <c r="E32" i="2"/>
  <c r="H32" i="2" s="1"/>
  <c r="H33" i="2"/>
  <c r="E55" i="2"/>
  <c r="H55" i="2" s="1"/>
  <c r="H52" i="2" s="1"/>
  <c r="E34" i="2"/>
  <c r="H34" i="2" s="1"/>
  <c r="H26" i="2" l="1"/>
  <c r="G13" i="1" s="1"/>
  <c r="E17" i="32"/>
  <c r="G16" i="1"/>
  <c r="E14" i="32" l="1"/>
  <c r="H14" i="32" s="1"/>
  <c r="G60" i="2"/>
  <c r="G18" i="1"/>
  <c r="F16" i="1" s="1"/>
  <c r="H17" i="32"/>
  <c r="J17" i="32"/>
  <c r="L17" i="32"/>
  <c r="J14" i="32" l="1"/>
  <c r="J19" i="32" s="1"/>
  <c r="L14" i="32"/>
  <c r="L19" i="32" s="1"/>
  <c r="E19" i="32"/>
  <c r="D17" i="32" s="1"/>
  <c r="F14" i="1"/>
  <c r="F12" i="1"/>
  <c r="F10" i="1"/>
  <c r="F15" i="1"/>
  <c r="F17" i="1"/>
  <c r="F11" i="1"/>
  <c r="F9" i="1"/>
  <c r="F13" i="1"/>
  <c r="H19" i="32"/>
  <c r="D14" i="32" l="1"/>
  <c r="D12" i="32"/>
  <c r="D10" i="32"/>
  <c r="K19" i="32"/>
  <c r="I19" i="32"/>
  <c r="D11" i="32"/>
  <c r="D15" i="32"/>
  <c r="D18" i="32"/>
  <c r="D16" i="32"/>
  <c r="D13" i="32"/>
  <c r="H20" i="32"/>
  <c r="G19" i="32"/>
  <c r="F18" i="1"/>
  <c r="D19" i="32" l="1"/>
  <c r="G20" i="32"/>
  <c r="J20" i="32"/>
  <c r="I20" i="32" l="1"/>
  <c r="L20" i="32"/>
  <c r="K20" i="32" s="1"/>
</calcChain>
</file>

<file path=xl/sharedStrings.xml><?xml version="1.0" encoding="utf-8"?>
<sst xmlns="http://schemas.openxmlformats.org/spreadsheetml/2006/main" count="432" uniqueCount="285">
  <si>
    <r>
      <rPr>
        <b/>
        <sz val="10"/>
        <rFont val="Arial"/>
        <family val="2"/>
      </rPr>
      <t>T O T A L   G E R A L</t>
    </r>
  </si>
  <si>
    <r>
      <rPr>
        <b/>
        <sz val="6"/>
        <rFont val="Arial"/>
        <family val="2"/>
      </rPr>
      <t>NÃO DESONERADO</t>
    </r>
  </si>
  <si>
    <r>
      <rPr>
        <b/>
        <sz val="9"/>
        <rFont val="Arial"/>
        <family val="2"/>
      </rPr>
      <t>BDI</t>
    </r>
  </si>
  <si>
    <r>
      <rPr>
        <b/>
        <sz val="5.5"/>
        <rFont val="Arial"/>
        <family val="2"/>
      </rPr>
      <t>OBRA:</t>
    </r>
  </si>
  <si>
    <r>
      <rPr>
        <b/>
        <sz val="5"/>
        <rFont val="Arial"/>
        <family val="2"/>
      </rPr>
      <t>ITEM</t>
    </r>
  </si>
  <si>
    <r>
      <rPr>
        <b/>
        <sz val="5"/>
        <rFont val="Arial"/>
        <family val="2"/>
      </rPr>
      <t>CÓDIGO</t>
    </r>
  </si>
  <si>
    <r>
      <rPr>
        <b/>
        <sz val="5"/>
        <rFont val="Arial"/>
        <family val="2"/>
      </rPr>
      <t>DESCRIÇÃO DO SERVIÇO</t>
    </r>
  </si>
  <si>
    <r>
      <rPr>
        <b/>
        <sz val="5"/>
        <rFont val="Arial"/>
        <family val="2"/>
      </rPr>
      <t>UN.</t>
    </r>
  </si>
  <si>
    <r>
      <rPr>
        <b/>
        <sz val="5"/>
        <rFont val="Arial"/>
        <family val="2"/>
      </rPr>
      <t>QUANT.</t>
    </r>
  </si>
  <si>
    <r>
      <rPr>
        <b/>
        <sz val="5"/>
        <rFont val="Arial"/>
        <family val="2"/>
      </rPr>
      <t>PREÇO UNIT. (R$)</t>
    </r>
  </si>
  <si>
    <r>
      <rPr>
        <b/>
        <sz val="5"/>
        <rFont val="Arial"/>
        <family val="2"/>
      </rPr>
      <t>PREÇO BDI. (R$)</t>
    </r>
  </si>
  <si>
    <r>
      <rPr>
        <b/>
        <sz val="5"/>
        <rFont val="Arial"/>
        <family val="2"/>
      </rPr>
      <t>PREÇO FINAL (R$)</t>
    </r>
  </si>
  <si>
    <r>
      <rPr>
        <b/>
        <sz val="5.5"/>
        <rFont val="Arial"/>
        <family val="2"/>
      </rPr>
      <t>1.0</t>
    </r>
  </si>
  <si>
    <r>
      <rPr>
        <sz val="5.5"/>
        <rFont val="Arial"/>
        <family val="2"/>
      </rPr>
      <t>1.1</t>
    </r>
  </si>
  <si>
    <r>
      <rPr>
        <b/>
        <sz val="6"/>
        <rFont val="Arial"/>
        <family val="2"/>
      </rPr>
      <t>ADMINISTRAÇÃO LOCAL</t>
    </r>
  </si>
  <si>
    <r>
      <rPr>
        <b/>
        <sz val="6"/>
        <rFont val="Arial"/>
        <family val="2"/>
      </rPr>
      <t>UN</t>
    </r>
  </si>
  <si>
    <r>
      <rPr>
        <b/>
        <sz val="6"/>
        <rFont val="Arial"/>
        <family val="2"/>
      </rPr>
      <t>SINAPI ou Cot. De Mercado</t>
    </r>
  </si>
  <si>
    <r>
      <rPr>
        <b/>
        <sz val="6"/>
        <rFont val="Arial"/>
        <family val="2"/>
      </rPr>
      <t>COMPONENTES</t>
    </r>
  </si>
  <si>
    <r>
      <rPr>
        <b/>
        <sz val="6"/>
        <rFont val="Arial"/>
        <family val="2"/>
      </rPr>
      <t>Quantidade</t>
    </r>
  </si>
  <si>
    <r>
      <rPr>
        <b/>
        <sz val="6"/>
        <rFont val="Arial"/>
        <family val="2"/>
      </rPr>
      <t>Custos Unit. (R$)</t>
    </r>
  </si>
  <si>
    <r>
      <rPr>
        <b/>
        <sz val="6"/>
        <rFont val="Arial"/>
        <family val="2"/>
      </rPr>
      <t>Custos Total (R$)</t>
    </r>
  </si>
  <si>
    <r>
      <rPr>
        <b/>
        <sz val="6"/>
        <rFont val="Arial"/>
        <family val="2"/>
      </rPr>
      <t>MÃO DE OBRA</t>
    </r>
  </si>
  <si>
    <r>
      <rPr>
        <sz val="6"/>
        <rFont val="Arial"/>
        <family val="2"/>
      </rPr>
      <t>MESTRE DE OBRAS COM ENCARGOS COMPLEMENTARES</t>
    </r>
  </si>
  <si>
    <r>
      <rPr>
        <sz val="6"/>
        <rFont val="Arial"/>
        <family val="2"/>
      </rPr>
      <t>H</t>
    </r>
  </si>
  <si>
    <r>
      <rPr>
        <sz val="6"/>
        <rFont val="Arial"/>
        <family val="2"/>
      </rPr>
      <t>ENGENHEIRO CIVIL DE OBRA JUNIOR COM ENCARGOS COMPLEMENTARES</t>
    </r>
  </si>
  <si>
    <r>
      <rPr>
        <b/>
        <sz val="6"/>
        <rFont val="Arial"/>
        <family val="2"/>
      </rPr>
      <t>Total</t>
    </r>
  </si>
  <si>
    <r>
      <rPr>
        <b/>
        <sz val="6"/>
        <rFont val="Arial"/>
        <family val="2"/>
      </rPr>
      <t>MEMÓRIA DE CÁLCULO - ADMINISTRAÇÃO LOCAL</t>
    </r>
  </si>
  <si>
    <r>
      <rPr>
        <b/>
        <sz val="6"/>
        <rFont val="Arial"/>
        <family val="2"/>
      </rPr>
      <t>CÁLCULO</t>
    </r>
  </si>
  <si>
    <r>
      <rPr>
        <b/>
        <sz val="6"/>
        <rFont val="Arial"/>
        <family val="2"/>
      </rPr>
      <t>M A T E R I A L</t>
    </r>
  </si>
  <si>
    <r>
      <rPr>
        <b/>
        <sz val="9.5"/>
        <rFont val="Arial"/>
        <family val="2"/>
      </rPr>
      <t>BDI</t>
    </r>
  </si>
  <si>
    <r>
      <rPr>
        <b/>
        <sz val="6"/>
        <rFont val="Arial"/>
        <family val="2"/>
      </rPr>
      <t>ITEM</t>
    </r>
  </si>
  <si>
    <r>
      <rPr>
        <b/>
        <sz val="6"/>
        <rFont val="Arial"/>
        <family val="2"/>
      </rPr>
      <t>DISCRIMINAÇÃO</t>
    </r>
  </si>
  <si>
    <r>
      <rPr>
        <b/>
        <sz val="6"/>
        <rFont val="Arial"/>
        <family val="2"/>
      </rPr>
      <t>PERCENTUAL</t>
    </r>
  </si>
  <si>
    <r>
      <rPr>
        <b/>
        <sz val="6"/>
        <rFont val="Arial"/>
        <family val="2"/>
      </rPr>
      <t>( % )</t>
    </r>
  </si>
  <si>
    <r>
      <rPr>
        <b/>
        <sz val="6"/>
        <rFont val="Arial"/>
        <family val="2"/>
      </rPr>
      <t>ADMINISTRAÇÃO DA OBRA</t>
    </r>
  </si>
  <si>
    <r>
      <rPr>
        <sz val="6"/>
        <rFont val="Arial"/>
        <family val="2"/>
      </rPr>
      <t>1.1</t>
    </r>
  </si>
  <si>
    <r>
      <rPr>
        <b/>
        <sz val="6"/>
        <rFont val="Arial"/>
        <family val="2"/>
      </rPr>
      <t xml:space="preserve">AC - </t>
    </r>
    <r>
      <rPr>
        <sz val="6"/>
        <rFont val="Arial"/>
        <family val="2"/>
      </rPr>
      <t>Administração Central</t>
    </r>
  </si>
  <si>
    <r>
      <rPr>
        <sz val="6"/>
        <rFont val="Arial"/>
        <family val="2"/>
      </rPr>
      <t>1.2</t>
    </r>
  </si>
  <si>
    <r>
      <rPr>
        <b/>
        <sz val="6"/>
        <rFont val="Arial"/>
        <family val="2"/>
      </rPr>
      <t xml:space="preserve">SG - </t>
    </r>
    <r>
      <rPr>
        <sz val="6"/>
        <rFont val="Arial"/>
        <family val="2"/>
      </rPr>
      <t>Seguro e Garantia</t>
    </r>
  </si>
  <si>
    <r>
      <rPr>
        <sz val="6"/>
        <rFont val="Arial"/>
        <family val="2"/>
      </rPr>
      <t>1.3</t>
    </r>
  </si>
  <si>
    <r>
      <rPr>
        <b/>
        <sz val="6"/>
        <rFont val="Arial"/>
        <family val="2"/>
      </rPr>
      <t xml:space="preserve">C - </t>
    </r>
    <r>
      <rPr>
        <sz val="6"/>
        <rFont val="Arial"/>
        <family val="2"/>
      </rPr>
      <t>Riscos</t>
    </r>
  </si>
  <si>
    <r>
      <rPr>
        <sz val="6"/>
        <rFont val="Arial"/>
        <family val="2"/>
      </rPr>
      <t>1.4</t>
    </r>
  </si>
  <si>
    <r>
      <rPr>
        <b/>
        <sz val="6"/>
        <rFont val="Arial"/>
        <family val="2"/>
      </rPr>
      <t xml:space="preserve">DF - </t>
    </r>
    <r>
      <rPr>
        <sz val="6"/>
        <rFont val="Arial"/>
        <family val="2"/>
      </rPr>
      <t>Custos Financeiras</t>
    </r>
  </si>
  <si>
    <r>
      <rPr>
        <b/>
        <sz val="6"/>
        <rFont val="Arial"/>
        <family val="2"/>
      </rPr>
      <t>2.0</t>
    </r>
  </si>
  <si>
    <r>
      <rPr>
        <b/>
        <sz val="6"/>
        <rFont val="Arial"/>
        <family val="2"/>
      </rPr>
      <t>LUCRO</t>
    </r>
  </si>
  <si>
    <r>
      <rPr>
        <sz val="6"/>
        <rFont val="Arial"/>
        <family val="2"/>
      </rPr>
      <t>2.1</t>
    </r>
  </si>
  <si>
    <r>
      <rPr>
        <b/>
        <sz val="6"/>
        <rFont val="Arial"/>
        <family val="2"/>
      </rPr>
      <t xml:space="preserve">L - </t>
    </r>
    <r>
      <rPr>
        <sz val="6"/>
        <rFont val="Arial"/>
        <family val="2"/>
      </rPr>
      <t>Lucro Operacional</t>
    </r>
  </si>
  <si>
    <r>
      <rPr>
        <b/>
        <sz val="6"/>
        <rFont val="Arial"/>
        <family val="2"/>
      </rPr>
      <t>3.0</t>
    </r>
  </si>
  <si>
    <r>
      <rPr>
        <b/>
        <sz val="6"/>
        <rFont val="Arial"/>
        <family val="2"/>
      </rPr>
      <t>TRIBUTOS</t>
    </r>
  </si>
  <si>
    <r>
      <rPr>
        <sz val="6"/>
        <rFont val="Arial"/>
        <family val="2"/>
      </rPr>
      <t>3.1</t>
    </r>
  </si>
  <si>
    <r>
      <rPr>
        <sz val="6"/>
        <rFont val="Arial"/>
        <family val="2"/>
      </rPr>
      <t>**ISS</t>
    </r>
  </si>
  <si>
    <r>
      <rPr>
        <sz val="6"/>
        <rFont val="Arial"/>
        <family val="2"/>
      </rPr>
      <t>3.2</t>
    </r>
  </si>
  <si>
    <r>
      <rPr>
        <sz val="6"/>
        <rFont val="Arial"/>
        <family val="2"/>
      </rPr>
      <t>Cofins</t>
    </r>
  </si>
  <si>
    <r>
      <rPr>
        <sz val="6"/>
        <rFont val="Arial"/>
        <family val="2"/>
      </rPr>
      <t>3.3</t>
    </r>
  </si>
  <si>
    <r>
      <rPr>
        <sz val="6"/>
        <rFont val="Arial"/>
        <family val="2"/>
      </rPr>
      <t>Pis</t>
    </r>
  </si>
  <si>
    <r>
      <rPr>
        <sz val="6"/>
        <rFont val="Arial"/>
        <family val="2"/>
      </rPr>
      <t>3.4</t>
    </r>
  </si>
  <si>
    <r>
      <rPr>
        <sz val="6"/>
        <rFont val="Arial"/>
        <family val="2"/>
      </rPr>
      <t>Contribuição Previdenciária - Lei nº 12.546/13</t>
    </r>
  </si>
  <si>
    <r>
      <rPr>
        <sz val="6"/>
        <rFont val="Arial"/>
        <family val="2"/>
      </rPr>
      <t>Segundo o que determina a lei nº 8.666/93, admite-se fixar o percentual de BDI, dede que seguindo as técnicas da Engenharia e Custos.</t>
    </r>
  </si>
  <si>
    <r>
      <rPr>
        <b/>
        <sz val="6"/>
        <rFont val="Arial"/>
        <family val="2"/>
      </rPr>
      <t>Não incidem IRPJ e CSLL na composição de Tributos.</t>
    </r>
  </si>
  <si>
    <r>
      <rPr>
        <b/>
        <sz val="6"/>
        <rFont val="Calibri"/>
        <family val="2"/>
      </rPr>
      <t>CÁLCULO DO BDI</t>
    </r>
  </si>
  <si>
    <t>COMPOSIÇÃO</t>
  </si>
  <si>
    <t>Und.</t>
  </si>
  <si>
    <t>m²</t>
  </si>
  <si>
    <t>m³</t>
  </si>
  <si>
    <t>m</t>
  </si>
  <si>
    <t>SETOR DE ENGENHARIA DE NOVA SANTA HELENA-MT</t>
  </si>
  <si>
    <t>2.0</t>
  </si>
  <si>
    <t>2.1</t>
  </si>
  <si>
    <t>2.2</t>
  </si>
  <si>
    <t>2.3</t>
  </si>
  <si>
    <t>2.4</t>
  </si>
  <si>
    <t>3.0</t>
  </si>
  <si>
    <t>3.1</t>
  </si>
  <si>
    <t>4.0</t>
  </si>
  <si>
    <t>4.1</t>
  </si>
  <si>
    <t>4.2</t>
  </si>
  <si>
    <t>5.0</t>
  </si>
  <si>
    <t>5.1</t>
  </si>
  <si>
    <t>5.2</t>
  </si>
  <si>
    <t>6.0</t>
  </si>
  <si>
    <t>6.1</t>
  </si>
  <si>
    <t>6.2</t>
  </si>
  <si>
    <t>6.3</t>
  </si>
  <si>
    <t>6.4</t>
  </si>
  <si>
    <t>7.0</t>
  </si>
  <si>
    <t>7.1</t>
  </si>
  <si>
    <t>8.0</t>
  </si>
  <si>
    <t>8.1</t>
  </si>
  <si>
    <t>8.2</t>
  </si>
  <si>
    <t>LOCAL:</t>
  </si>
  <si>
    <t>ADMINISTRAÇÃO LOCAL</t>
  </si>
  <si>
    <t>30 DIAS</t>
  </si>
  <si>
    <t>%</t>
  </si>
  <si>
    <t xml:space="preserve">SETOR DE ENGENHARIA </t>
  </si>
  <si>
    <t>TOTAL ACUMULADO</t>
  </si>
  <si>
    <t>TOTAL GERAL</t>
  </si>
  <si>
    <t>ORÇAMENTO</t>
  </si>
  <si>
    <t xml:space="preserve">PLANILHA ORÇAMENTÁRIA </t>
  </si>
  <si>
    <t xml:space="preserve">PREFEITURA  DE NOVA SANTA HELENA-MT </t>
  </si>
  <si>
    <t>8.3</t>
  </si>
  <si>
    <t>5.3</t>
  </si>
  <si>
    <t>5.4</t>
  </si>
  <si>
    <t>5.5</t>
  </si>
  <si>
    <t>5.6</t>
  </si>
  <si>
    <t>5.7</t>
  </si>
  <si>
    <t>5.9</t>
  </si>
  <si>
    <t>5.8</t>
  </si>
  <si>
    <t>5.10</t>
  </si>
  <si>
    <t xml:space="preserve">Und. </t>
  </si>
  <si>
    <t>APLICAÇÃO MANUAL DE PINTURA COM TINTA LÁTEX ACRÍLICA EM TETO, DUAS DEMÃOS.</t>
  </si>
  <si>
    <t>REMOÇÃO DE JANELAS, DE FORMA MANUAL, SEM REAPROVEITAMENTO.</t>
  </si>
  <si>
    <t>DATA</t>
  </si>
  <si>
    <t>RESUMO ORÇAMENTÁRIO</t>
  </si>
  <si>
    <t>CRONOGRAMA FÍSICO-FINANCEIRO</t>
  </si>
  <si>
    <t>BDI</t>
  </si>
  <si>
    <t>TAXA DE BDI A SER APLICADA SOBRE O CUSTO DIRETO</t>
  </si>
  <si>
    <t xml:space="preserve">BDI = </t>
  </si>
  <si>
    <t>( 1 + AC + S + R + G ) ( 1 + DF ) ( 1 + L )</t>
  </si>
  <si>
    <t>(1-I)</t>
  </si>
  <si>
    <t>**ISS -  Imposto Sobre Serviços</t>
  </si>
  <si>
    <t>% SOBRE MÃO DE OBRA</t>
  </si>
  <si>
    <t>COMPOSIÇÃO I</t>
  </si>
  <si>
    <t xml:space="preserve">ENGENHARIA </t>
  </si>
  <si>
    <t>Descrição</t>
  </si>
  <si>
    <t>COMPOSIÇÃO II</t>
  </si>
  <si>
    <t xml:space="preserve">PLACA DE OBRA EM CHAPA DE ACO GALVANIZADO </t>
  </si>
  <si>
    <t>Custos Total S/ BDI (R$)</t>
  </si>
  <si>
    <t>SARRAFO DE MADEIRA NAO APARELHADA *2,5 X 7* CM, MACARANDUBA, ANGELIM OU EQUIVALENTE DA REGIAO</t>
  </si>
  <si>
    <t>M</t>
  </si>
  <si>
    <t>1,0000000</t>
  </si>
  <si>
    <t>PONTALETE DE MADEIRA NAO APARELHADA *7,5 X 7,5* CM (3 X 3 ") PINUS, MISTA OU EQUIVALENTE DA REGIAO</t>
  </si>
  <si>
    <t>4,0000000</t>
  </si>
  <si>
    <t>PLACA DE OBRA (PARA CONSTRUCAO CIVIL) EM CHAPA GALVANIZADA *N. 22*, ADESIVADA, DE *2,0 X 1,125* M</t>
  </si>
  <si>
    <t>M2</t>
  </si>
  <si>
    <t>PREGO DE ACO POLIDO COM CABECA 18 X 30 (2 3/4 X 10)</t>
  </si>
  <si>
    <t>KG</t>
  </si>
  <si>
    <t>0,1100000</t>
  </si>
  <si>
    <t>CARPINTEIRO DE FORMAS COM ENCARGOS COMPLEMENTARES</t>
  </si>
  <si>
    <t>H</t>
  </si>
  <si>
    <t>SERVENTE COM ENCARGOS COMPLEMENTARES</t>
  </si>
  <si>
    <t>2,0000000</t>
  </si>
  <si>
    <t>CONCRETO MAGRO PARA LASTRO, TRAÇO 1:4,5:4,5 (CIMENTO/ AREIA MÉDIA/ BRITA 1)  - PREPARO MECÂNICO COM BETONEIRA 400 L. AF_07/2016</t>
  </si>
  <si>
    <t>M3</t>
  </si>
  <si>
    <t>0,0100000</t>
  </si>
  <si>
    <t>Indicação: C - Composição;  I - Insumo.</t>
  </si>
  <si>
    <t xml:space="preserve">FONTE </t>
  </si>
  <si>
    <t>Código 73900/5 - Catálogo de Composições Análiticas - SINAPI/MT/Janeiro-2020</t>
  </si>
  <si>
    <t>SERVIÇOS PRELIMINARES</t>
  </si>
  <si>
    <t>PLACA DE OBRA</t>
  </si>
  <si>
    <t>DEMOLIÇÕES E RETIRADAS</t>
  </si>
  <si>
    <t>Piso</t>
  </si>
  <si>
    <t>Piso contorno</t>
  </si>
  <si>
    <t>PINTURAS</t>
  </si>
  <si>
    <t>ISS - Do município</t>
  </si>
  <si>
    <t>**ISS - Do  município pelo Código Tributário Municipal - Lei Nº 569/2013</t>
  </si>
  <si>
    <t>CONSTRUÇÃO E REFORMA DE EDIFÍCIOS</t>
  </si>
  <si>
    <t>BDI SACID</t>
  </si>
  <si>
    <t>1º Quartil</t>
  </si>
  <si>
    <t>Médio</t>
  </si>
  <si>
    <t>3º Quartil</t>
  </si>
  <si>
    <t>COM DESONERAÇÃO</t>
  </si>
  <si>
    <t>SEM DESONERAÇÃO</t>
  </si>
  <si>
    <t>* PARA ISS 5,00 % E % 40 M.O</t>
  </si>
  <si>
    <t>* ALTERAR SOMENTE ISS DO MUN.</t>
  </si>
  <si>
    <t>BDI MINIMO</t>
  </si>
  <si>
    <t>ok</t>
  </si>
  <si>
    <t>Calçamento lateral e frontal e piscina</t>
  </si>
  <si>
    <t xml:space="preserve">Janelas das salas </t>
  </si>
  <si>
    <t>PEDREIRO COM ENCARGOS COMPLEMENTARES</t>
  </si>
  <si>
    <t>COMPOSIÇÃO III</t>
  </si>
  <si>
    <t>TETO (GESSO)</t>
  </si>
  <si>
    <t>MATÁLICO</t>
  </si>
  <si>
    <t>ALVENARIAS</t>
  </si>
  <si>
    <t>Area do Muro a Executar e face externa porta</t>
  </si>
  <si>
    <t>GESSO</t>
  </si>
  <si>
    <t>COBERTURA</t>
  </si>
  <si>
    <t>COBERTURA 1,50*3,50</t>
  </si>
  <si>
    <t>Area de gesso a ser substituido - sala de espera e area de circulação</t>
  </si>
  <si>
    <t>Tamanho do portão metálico 2 faces</t>
  </si>
  <si>
    <t>ESQUADRIAS E MADEIRAS</t>
  </si>
  <si>
    <t>AVENIDA BRASIL, S/N, NOVA SANTA HELENA - MT</t>
  </si>
  <si>
    <t>remoção de porta metálica</t>
  </si>
  <si>
    <t xml:space="preserve">PISOS E CALÇAMENTOS </t>
  </si>
  <si>
    <t>REFORMA DE PRÉDIO PÚBLICO - REFORMA DO CENTRO DE REFERÊNCIA DE ASSISTÊNCIA SOCIAL (CRAS)</t>
  </si>
  <si>
    <t>AVENIDA  BRASIL, S/N, NOVA SANTA HELENA - MT</t>
  </si>
  <si>
    <t>PAISAGISMO</t>
  </si>
  <si>
    <t>9.0</t>
  </si>
  <si>
    <t>ADMINISTRAÇÃO DE OBRA</t>
  </si>
  <si>
    <t>Ref.: Tabela de Serviços SINAPI (MARÇO/2022)
e/ou composições PiniTCPO</t>
  </si>
  <si>
    <t>Atualizada SINAPI Março ok</t>
  </si>
  <si>
    <t>Atualizada SINAPI Março</t>
  </si>
  <si>
    <t>9.1</t>
  </si>
  <si>
    <t>9.2</t>
  </si>
  <si>
    <t>PAREDES  EXTERNAS</t>
  </si>
  <si>
    <t>PAREDES INTERNAS</t>
  </si>
  <si>
    <t>Paredes Externas</t>
  </si>
  <si>
    <t>(Area Externa existente somente Pintura = 86,25*5,13=442,46m² + (pintura e textura) Muro a subir até a altura de 5,13 *4,50m*2 faces = 46,10m² + (Pintura e Textura Muros Existentes 1,75*xx=xxm² + pintura e textura na area da porta que será fechada por alvenaria 0,80*2,10*2=3,36m²)</t>
  </si>
  <si>
    <t xml:space="preserve">pergolados + portas </t>
  </si>
  <si>
    <t>AV. BRASIL, ESQUINA COM R. MINAS GERAIS, S/N, NOVA SANTA HELENA - MT</t>
  </si>
  <si>
    <t>COMPOSIÇÃO IV</t>
  </si>
  <si>
    <t>FORNECIMENTO E INSTALAÇÃO DE PERGOLADO</t>
  </si>
  <si>
    <r>
      <rPr>
        <b/>
        <sz val="5.5"/>
        <rFont val="Arial"/>
        <family val="2"/>
      </rPr>
      <t>UN</t>
    </r>
  </si>
  <si>
    <r>
      <rPr>
        <b/>
        <sz val="5.5"/>
        <rFont val="Arial"/>
        <family val="2"/>
      </rPr>
      <t xml:space="preserve">SINAPI OU COT
</t>
    </r>
    <r>
      <rPr>
        <b/>
        <sz val="5.5"/>
        <rFont val="Arial"/>
        <family val="2"/>
      </rPr>
      <t>MERCADO</t>
    </r>
  </si>
  <si>
    <r>
      <rPr>
        <b/>
        <sz val="5.5"/>
        <rFont val="Arial"/>
        <family val="2"/>
      </rPr>
      <t>COMPONENTES</t>
    </r>
  </si>
  <si>
    <r>
      <rPr>
        <b/>
        <sz val="5.5"/>
        <rFont val="Arial"/>
        <family val="2"/>
      </rPr>
      <t>Quantidade</t>
    </r>
  </si>
  <si>
    <r>
      <rPr>
        <b/>
        <sz val="5.5"/>
        <rFont val="Arial"/>
        <family val="2"/>
      </rPr>
      <t xml:space="preserve">Custos Unit.
</t>
    </r>
    <r>
      <rPr>
        <b/>
        <sz val="5.5"/>
        <rFont val="Arial"/>
        <family val="2"/>
      </rPr>
      <t>(R$)</t>
    </r>
  </si>
  <si>
    <r>
      <rPr>
        <b/>
        <sz val="5.5"/>
        <rFont val="Arial"/>
        <family val="2"/>
      </rPr>
      <t xml:space="preserve">Custos Total
</t>
    </r>
    <r>
      <rPr>
        <b/>
        <sz val="5.5"/>
        <rFont val="Arial"/>
        <family val="2"/>
      </rPr>
      <t>(R$)</t>
    </r>
  </si>
  <si>
    <r>
      <rPr>
        <b/>
        <sz val="5.5"/>
        <rFont val="Arial"/>
        <family val="2"/>
      </rPr>
      <t>M A T E R I A L</t>
    </r>
  </si>
  <si>
    <r>
      <rPr>
        <sz val="5.5"/>
        <color theme="1"/>
        <rFont val="Arial"/>
        <family val="2"/>
      </rPr>
      <t>MADEIRA SERRADA NAO APARELHADA DE PINUS, MISTA OU EQUIVALENTE
DA REGIAO</t>
    </r>
  </si>
  <si>
    <r>
      <rPr>
        <sz val="5.5"/>
        <rFont val="Arial"/>
        <family val="2"/>
      </rPr>
      <t>M3</t>
    </r>
  </si>
  <si>
    <t>Pergolado</t>
  </si>
  <si>
    <r>
      <rPr>
        <sz val="5.5"/>
        <rFont val="Arial"/>
        <family val="2"/>
      </rPr>
      <t>VERGALHAO ZINCADO ROSCA TOTAL, 1/4 " (6,3 MM)</t>
    </r>
  </si>
  <si>
    <r>
      <rPr>
        <sz val="5.5"/>
        <rFont val="Arial"/>
        <family val="2"/>
      </rPr>
      <t>M</t>
    </r>
  </si>
  <si>
    <t>Dimensão</t>
  </si>
  <si>
    <t xml:space="preserve">Comp. </t>
  </si>
  <si>
    <t>M³</t>
  </si>
  <si>
    <t>Ml</t>
  </si>
  <si>
    <t>Area</t>
  </si>
  <si>
    <r>
      <rPr>
        <sz val="5.5"/>
        <rFont val="Arial"/>
        <family val="2"/>
      </rPr>
      <t>PORCA ZINCADA, SEXTAVADA, DIAMETRO 1/4"</t>
    </r>
  </si>
  <si>
    <r>
      <rPr>
        <sz val="5.5"/>
        <rFont val="Arial"/>
        <family val="2"/>
      </rPr>
      <t>UN</t>
    </r>
  </si>
  <si>
    <t>Pilar</t>
  </si>
  <si>
    <t>0,30*0,30</t>
  </si>
  <si>
    <r>
      <rPr>
        <b/>
        <sz val="5.5"/>
        <rFont val="Arial"/>
        <family val="2"/>
      </rPr>
      <t>S E R V I Ç O S</t>
    </r>
  </si>
  <si>
    <t>Viga</t>
  </si>
  <si>
    <t>0,10*0,25</t>
  </si>
  <si>
    <r>
      <rPr>
        <sz val="5.5"/>
        <rFont val="Arial"/>
        <family val="2"/>
      </rPr>
      <t xml:space="preserve">ESCAVAÇÃO MANUAL PARA BLOCO DE COROAMENTO OU SAPATA, SEM
</t>
    </r>
    <r>
      <rPr>
        <sz val="5.5"/>
        <rFont val="Arial"/>
        <family val="2"/>
      </rPr>
      <t>PREVISÃO DE FÔRMA. AF_06/2017</t>
    </r>
  </si>
  <si>
    <t>Travessas</t>
  </si>
  <si>
    <t>0,08*0,15</t>
  </si>
  <si>
    <r>
      <rPr>
        <sz val="5.5"/>
        <rFont val="Arial"/>
        <family val="2"/>
      </rPr>
      <t xml:space="preserve">CONCRETO FCK = 20MPA, TRAÇO 1:2,7:3 (CIMENTO/ AREIA MÉDIA/ BRITA 1)
</t>
    </r>
    <r>
      <rPr>
        <sz val="5.5"/>
        <rFont val="Arial"/>
        <family val="2"/>
      </rPr>
      <t>- PREPARO MECÂNICO COM BETONEIRA 600 L. AF_07/2016</t>
    </r>
  </si>
  <si>
    <t>PINTURA VERNIZ (INCOLOR) ALQUÍDICO EM MADEIRA, USO INTERNO, 2 DEMÃOS</t>
  </si>
  <si>
    <r>
      <rPr>
        <sz val="5.5"/>
        <rFont val="Arial"/>
        <family val="2"/>
      </rPr>
      <t>M2</t>
    </r>
  </si>
  <si>
    <r>
      <rPr>
        <b/>
        <sz val="5.5"/>
        <rFont val="Arial"/>
        <family val="2"/>
      </rPr>
      <t>M Ã O   D E   O B R A</t>
    </r>
  </si>
  <si>
    <r>
      <rPr>
        <sz val="5.5"/>
        <rFont val="Arial"/>
        <family val="2"/>
      </rPr>
      <t>CARPINTEIRO DE FORMAS COM ENCARGOS COMPLEMENTARES</t>
    </r>
  </si>
  <si>
    <r>
      <rPr>
        <sz val="5.5"/>
        <rFont val="Arial"/>
        <family val="2"/>
      </rPr>
      <t>H</t>
    </r>
  </si>
  <si>
    <r>
      <rPr>
        <sz val="5.5"/>
        <rFont val="Arial"/>
        <family val="2"/>
      </rPr>
      <t>SERVENTE COM ENCARGOS COMPLEMENTARES</t>
    </r>
  </si>
  <si>
    <r>
      <rPr>
        <b/>
        <sz val="5.5"/>
        <rFont val="Arial"/>
        <family val="2"/>
      </rPr>
      <t>TOTAL</t>
    </r>
  </si>
  <si>
    <r>
      <rPr>
        <b/>
        <sz val="5.5"/>
        <rFont val="Arial"/>
        <family val="2"/>
      </rPr>
      <t>A mão de obra foi feita com base na composição 10666/ORSE (JANEIRO/2018). Foi multiplicado o coeficiente de hora para um profissional assentar um metro de peça do pergolado.</t>
    </r>
  </si>
  <si>
    <t>Memorial de Cálculo:</t>
  </si>
  <si>
    <t xml:space="preserve">Servente    -&gt; 0,5h/ metro de peça assentada                      </t>
  </si>
  <si>
    <t xml:space="preserve">Carpinteiro -&gt; 0,7h/metro de peça assentada                       </t>
  </si>
  <si>
    <t>VERNIZ SINTÉTICO - ÁREA DE PINTURA DA MADEIRA</t>
  </si>
  <si>
    <t xml:space="preserve">Pergolado existente </t>
  </si>
  <si>
    <t xml:space="preserve">Viga </t>
  </si>
  <si>
    <t>travessas</t>
  </si>
  <si>
    <t>Pintura Muro Estacionamento</t>
  </si>
  <si>
    <t>13 portas</t>
  </si>
  <si>
    <t>2HR*2DIAS*4SEMANAS*1MESES</t>
  </si>
  <si>
    <t>3HR*3DIAS*4SEMANAS*1MESES</t>
  </si>
  <si>
    <t>PERGOLADO</t>
  </si>
  <si>
    <t xml:space="preserve">OK </t>
  </si>
  <si>
    <t xml:space="preserve">MATERIAIS </t>
  </si>
  <si>
    <t>**COMPOSIÇÃO BASEADA NA TCPO 13ª EDIÇÃO - CÓDIGO 08 820.8.3.3. ESTA COMPOSIÇÃO VISA SUPRIR A IMPOSSIBILIDADE DE
ELABORAÇÃO DE COMPOSIÇÃO EXATA PARA TODAS AS DIMENSÕES POSSÍVEIS PARA ESTE SERVIÇO, AUXILIANDO ASSIM O
ORÇAMENTISTA A ESTIMAR O CUSTO PARA QUALQUER DIMENSÃO DE ESQUADRIA DESEJADA</t>
  </si>
  <si>
    <t xml:space="preserve">ok </t>
  </si>
  <si>
    <t xml:space="preserve">COMPOSIÇÃO IV </t>
  </si>
  <si>
    <t>INSTALAÇÃO DE VIDRO TEMPERADO, E = 10 MM, ENCAIXADO EM PERFIL U.</t>
  </si>
  <si>
    <t xml:space="preserve">FORNECIMENTO E INSTALAÇÃO DE PORTA 4 FOLHAS DE CORRER, VIDRO TEMPERADO FUMÊ E=10mm  </t>
  </si>
  <si>
    <t>COBERTURAS, PERGOLAS, RUFOS E PINGADEIRAS</t>
  </si>
  <si>
    <t>REMOÇÃO DE FORRO DE GESSO, DE FORMA MANUAL, SEM REAPROVEITAMENTO.</t>
  </si>
  <si>
    <t>REMOÇÃO DE PORTAS, DE FORMA MANUAL, SEM REAPROVEITAMENTO.</t>
  </si>
  <si>
    <t>EXECUÇÃO DE PASSEIO (CALÇADA) OU PISO DE CONCRETO COM CONCRETO MOLDADO
IN LOCO, FEITO EM OBRA, ACABAMENTO CONVENCIONAL, NÃO ARMADO</t>
  </si>
  <si>
    <t>COMPACTAÇÃO MECÂNICA DE SOLO PARA EXECUÇÃO DE RADIER, PISO DE CONCRETO 
OU LAJE SOBRE SOLO, COM COMPACTADOR DE SOLOS A PERCUSSÃO.</t>
  </si>
  <si>
    <t>APLICAÇÃO E LIXAMENTO DE MASSA LÁTEX EM PAREDES, DUAS DEMÃOS.</t>
  </si>
  <si>
    <t>APLICAÇÃO MANUAL DE PINTURA COM TINTA LÁTEX ACRÍLICA EM PAREDES, DUAS DEMÃOS.</t>
  </si>
  <si>
    <t>APLICAÇÃO MANUAL DE FUNDO SELADOR ACRÍLICO EM PANOS CEGOS DE FACHADA (SEM PRESENÇA DE VÃOS) DE EDIFÍCIOS DE MÚLTIPLOS PAVIMENTOS.</t>
  </si>
  <si>
    <t>TEXTURA ACRÍLICA, APLICAÇÃO MANUAL EM PAREDE, UMA DEMÃO.</t>
  </si>
  <si>
    <t>APLICAÇÃO MANUAL DE FUNDO SELADOR ACRÍLICO EM PANOS CEGOS DE FACHADA SEM PRESENÇA DE VÃOS) DE EDIFÍCIOS DE MÚLTIPLOS PAVIMENTOS.</t>
  </si>
  <si>
    <t>PINTURA VERNIZ (INCOLOR) ALQUÍDICO EM MADEIRA, USO INTERNO E EXTERNO,2 DEMÃOS.</t>
  </si>
  <si>
    <t>PINTURA TINTA DE ACABAMENTO (PIGMENTADA) A ÓLEO EM MADEIRA, 1 DEMÃO.</t>
  </si>
  <si>
    <t>PINTURA COM TINTA ALQUÍDICA DE ACABAMENTO (ESMALTE SINTÉTICO ACETINADO PULVERIZADA SOBRE SUPERFÍCIES METÁLICAS (EXCETO PERFIL) EXECUTADO EM OBRA (02 DEMÃOS).</t>
  </si>
  <si>
    <t xml:space="preserve">TELHAMENTO COM TELHA DE AÇO/ALUMÍNIO E = 0,5 MM, COM ATÉ 2 ÁGUAS, INCLUSO IÇAMENTO. </t>
  </si>
  <si>
    <t>TRAMA DE AÇO COMPOSTA POR TERÇAS PARA TELHADOS DE ATÉ 2 ÁGUAS PARA TELHA ONDULADA DE FIBROCIMENTO, METÁLICA, PLÁSTICA OU TERMOACÚSTICA, INCLUSO TRANSPORTE VERTICAL.</t>
  </si>
  <si>
    <t>INSTALAÇÃO DE TESOURA (INTEIRA OU MEIA), EM AÇO, PARA VÃOS MAIORES OU IGUAIS A 3,0 M E MENORES QUE 6,0 M, INCLUSO IÇAMENTO.</t>
  </si>
  <si>
    <t>RUFO EM CHAPA DE AÇO GALVANIZADO NÚMERO 24, CORTE DE 25 CM, INCLUSO TRANSPORTE VERTICAL.</t>
  </si>
  <si>
    <t>FORRO EM DRYWALL, PARA AMBIENTES RESIDENCIAIS, INCLUSIVE ESTRUTURA DE FIXAÇÃO.</t>
  </si>
  <si>
    <t>ALVENARIA DE VEDAÇÃO DE BLOCOS CERÂMICOS FURADOS NA HORIZONTAL DE 9X9X19 CM (ESPESSURA 9 CM) E ARGAMASSA DE ASSENTAMENTO COM PREPARO MANUAL.</t>
  </si>
  <si>
    <t xml:space="preserve">CHAPISCO APLICADO EM ALVENARIA (SEM PRESENÇA DE VÃOS) E ESTRUTURAS DE CONCRETO DE FACHADA, COM COLHER DE PEDREIRO. ARGAMASSA TRAÇO 1:3 COM PREPARO EM BETONEIRA 400L. </t>
  </si>
  <si>
    <t>EMBOÇO OU MASSA ÚNICA EM ARGAMASSA TRAÇO 1:2:8, PREPARO MANUAL, APLICADA MANUALMENTE EM PANOS DE FACHADA COM PRESENÇA DE VÃOS, ESPESSURA DE 25 MM.</t>
  </si>
  <si>
    <t>PLANTIO DE PALMEIRA COM ALTURA DE MUDA MENOR OU IGUAL A 2,00 M.</t>
  </si>
  <si>
    <t>PLANTIO DE GRAMA EM PLACAS.</t>
  </si>
  <si>
    <t>6.5</t>
  </si>
  <si>
    <t>ESCAVAÇÃO - 0,8*0,5*0,5*2 = 0,4M³</t>
  </si>
  <si>
    <t>CONCRETO/LANÇAMENTO - 0,8-(0,30*0,30*2)=0,22M³</t>
  </si>
  <si>
    <t>VERGALHÃO - 0,25*2 = 0,5m</t>
  </si>
  <si>
    <t>PORCA = 2(CADA VERGALHÃO DEVE RECEBER UMA PORCA)</t>
  </si>
  <si>
    <t xml:space="preserve">ESQUADRIAS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</si>
</sst>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&quot;R$&quot;* #,##0.00_-;\-&quot;R$&quot;* #,##0.00_-;_-&quot;R$&quot;* &quot;-&quot;??_-;_-@_-"/>
    <numFmt numFmtId="165" formatCode="dd/mm/yyyy;@"/>
    <numFmt numFmtId="166" formatCode="0.0"/>
    <numFmt numFmtId="167" formatCode="0.000"/>
  </numFmts>
  <fonts count="52" x14ac:knownFonts="1">
    <font>
      <sz val="10"/>
      <color rgb="FF000000"/>
      <name val="Times New Roman"/>
      <charset val="204"/>
    </font>
    <font>
      <b/>
      <sz val="7"/>
      <name val="Arial"/>
      <family val="2"/>
    </font>
    <font>
      <sz val="6.5"/>
      <name val="Arial"/>
      <family val="2"/>
    </font>
    <font>
      <sz val="6.5"/>
      <color rgb="FF000000"/>
      <name val="Arial"/>
      <family val="2"/>
    </font>
    <font>
      <b/>
      <sz val="10"/>
      <name val="Arial"/>
      <family val="2"/>
    </font>
    <font>
      <b/>
      <sz val="6.5"/>
      <color rgb="FF000000"/>
      <name val="Arial"/>
      <family val="2"/>
    </font>
    <font>
      <b/>
      <sz val="6"/>
      <name val="Arial"/>
      <family val="2"/>
    </font>
    <font>
      <b/>
      <sz val="9"/>
      <name val="Arial"/>
      <family val="2"/>
    </font>
    <font>
      <b/>
      <sz val="9"/>
      <color rgb="FF000000"/>
      <name val="Arial"/>
      <family val="2"/>
    </font>
    <font>
      <b/>
      <sz val="5.5"/>
      <name val="Arial"/>
      <family val="2"/>
    </font>
    <font>
      <sz val="5.5"/>
      <name val="Arial"/>
      <family val="2"/>
    </font>
    <font>
      <sz val="5.5"/>
      <color rgb="FF000000"/>
      <name val="Arial"/>
      <family val="2"/>
    </font>
    <font>
      <b/>
      <sz val="5"/>
      <name val="Arial"/>
      <family val="2"/>
    </font>
    <font>
      <b/>
      <sz val="5.5"/>
      <color rgb="FF000000"/>
      <name val="Arial"/>
      <family val="2"/>
    </font>
    <font>
      <sz val="6"/>
      <name val="Arial"/>
      <family val="2"/>
    </font>
    <font>
      <sz val="6"/>
      <color rgb="FF000000"/>
      <name val="Arial"/>
      <family val="2"/>
    </font>
    <font>
      <b/>
      <sz val="9.5"/>
      <name val="Arial"/>
      <family val="2"/>
    </font>
    <font>
      <b/>
      <sz val="9.5"/>
      <color rgb="FF000000"/>
      <name val="Arial"/>
      <family val="2"/>
    </font>
    <font>
      <b/>
      <sz val="6"/>
      <color rgb="FF000000"/>
      <name val="Arial"/>
      <family val="2"/>
    </font>
    <font>
      <b/>
      <sz val="10.5"/>
      <color rgb="FF000000"/>
      <name val="Arial"/>
      <family val="2"/>
    </font>
    <font>
      <sz val="5"/>
      <color rgb="FF000000"/>
      <name val="Arial"/>
      <family val="2"/>
    </font>
    <font>
      <b/>
      <sz val="6"/>
      <name val="Calibri"/>
      <family val="2"/>
    </font>
    <font>
      <sz val="5.5"/>
      <name val="Arial"/>
      <family val="2"/>
    </font>
    <font>
      <sz val="10"/>
      <color rgb="FF000000"/>
      <name val="Times New Roman"/>
      <family val="1"/>
    </font>
    <font>
      <sz val="8"/>
      <color rgb="FF000000"/>
      <name val="Times New Roman"/>
      <family val="1"/>
    </font>
    <font>
      <sz val="8"/>
      <name val="Times New Roman"/>
      <family val="1"/>
    </font>
    <font>
      <sz val="8"/>
      <name val="Times New Roman"/>
      <family val="1"/>
    </font>
    <font>
      <sz val="8"/>
      <color rgb="FF00000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7"/>
      <color rgb="FF000000"/>
      <name val="Arial"/>
      <family val="2"/>
    </font>
    <font>
      <b/>
      <sz val="11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8"/>
      <color theme="0"/>
      <name val="Arial"/>
      <family val="2"/>
    </font>
    <font>
      <b/>
      <sz val="5.5"/>
      <color rgb="FFC00000"/>
      <name val="Arial"/>
      <family val="2"/>
    </font>
    <font>
      <b/>
      <sz val="7"/>
      <color rgb="FFC0000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8"/>
      <color indexed="8"/>
      <name val="Calibri"/>
      <family val="2"/>
    </font>
    <font>
      <sz val="5.5"/>
      <color theme="1"/>
      <name val="Arial"/>
      <family val="2"/>
    </font>
    <font>
      <sz val="6"/>
      <color theme="1"/>
      <name val="Arial"/>
      <family val="2"/>
    </font>
    <font>
      <b/>
      <sz val="5"/>
      <color theme="1"/>
      <name val="Arial"/>
      <family val="2"/>
    </font>
    <font>
      <sz val="10"/>
      <color theme="1"/>
      <name val="Times New Roman"/>
      <family val="1"/>
    </font>
    <font>
      <sz val="8"/>
      <color rgb="FFC00000"/>
      <name val="Arial"/>
      <family val="2"/>
    </font>
    <font>
      <b/>
      <sz val="5.5"/>
      <color theme="1"/>
      <name val="Arial"/>
      <family val="2"/>
    </font>
    <font>
      <sz val="10"/>
      <color rgb="FFFF0000"/>
      <name val="Times New Roman"/>
      <family val="1"/>
    </font>
    <font>
      <sz val="8"/>
      <color theme="1"/>
      <name val="Arial"/>
      <family val="2"/>
    </font>
    <font>
      <sz val="5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808080"/>
      </patternFill>
    </fill>
    <fill>
      <patternFill patternType="solid">
        <fgColor rgb="FFBEBEBE"/>
      </patternFill>
    </fill>
    <fill>
      <patternFill patternType="solid">
        <fgColor rgb="FFDCE6F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</fills>
  <borders count="9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808080"/>
      </bottom>
      <diagonal/>
    </border>
    <border>
      <left style="thin">
        <color rgb="FF000000"/>
      </left>
      <right/>
      <top style="medium">
        <color indexed="64"/>
      </top>
      <bottom style="thin">
        <color rgb="FF808080"/>
      </bottom>
      <diagonal/>
    </border>
    <border>
      <left/>
      <right/>
      <top style="medium">
        <color indexed="64"/>
      </top>
      <bottom style="thin">
        <color rgb="FF808080"/>
      </bottom>
      <diagonal/>
    </border>
    <border>
      <left/>
      <right style="medium">
        <color indexed="64"/>
      </right>
      <top style="medium">
        <color indexed="64"/>
      </top>
      <bottom style="thin">
        <color rgb="FF808080"/>
      </bottom>
      <diagonal/>
    </border>
    <border>
      <left style="medium">
        <color indexed="64"/>
      </left>
      <right style="thin">
        <color rgb="FF000000"/>
      </right>
      <top style="thin">
        <color rgb="FF808080"/>
      </top>
      <bottom style="thin">
        <color rgb="FF808080"/>
      </bottom>
      <diagonal/>
    </border>
    <border>
      <left/>
      <right style="medium">
        <color indexed="64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8" fillId="0" borderId="0"/>
    <xf numFmtId="0" fontId="28" fillId="0" borderId="0"/>
  </cellStyleXfs>
  <cellXfs count="49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10" fillId="0" borderId="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top" wrapText="1"/>
    </xf>
    <xf numFmtId="1" fontId="11" fillId="0" borderId="24" xfId="0" applyNumberFormat="1" applyFont="1" applyFill="1" applyBorder="1" applyAlignment="1">
      <alignment horizontal="center" vertical="center" shrinkToFit="1"/>
    </xf>
    <xf numFmtId="164" fontId="0" fillId="0" borderId="0" xfId="0" applyNumberFormat="1" applyFill="1" applyBorder="1" applyAlignment="1">
      <alignment horizontal="left" vertical="top"/>
    </xf>
    <xf numFmtId="10" fontId="3" fillId="0" borderId="24" xfId="0" applyNumberFormat="1" applyFont="1" applyFill="1" applyBorder="1" applyAlignment="1">
      <alignment horizontal="center" vertical="top" shrinkToFit="1"/>
    </xf>
    <xf numFmtId="10" fontId="3" fillId="0" borderId="26" xfId="0" applyNumberFormat="1" applyFont="1" applyFill="1" applyBorder="1" applyAlignment="1">
      <alignment horizontal="center" vertical="top" shrinkToFit="1"/>
    </xf>
    <xf numFmtId="0" fontId="9" fillId="7" borderId="42" xfId="0" applyFont="1" applyFill="1" applyBorder="1" applyAlignment="1">
      <alignment horizontal="right" vertical="top" wrapText="1" indent="1"/>
    </xf>
    <xf numFmtId="0" fontId="0" fillId="7" borderId="43" xfId="0" applyFill="1" applyBorder="1" applyAlignment="1">
      <alignment horizontal="left" wrapText="1"/>
    </xf>
    <xf numFmtId="1" fontId="11" fillId="0" borderId="11" xfId="0" applyNumberFormat="1" applyFont="1" applyFill="1" applyBorder="1" applyAlignment="1">
      <alignment horizontal="center" vertical="center" shrinkToFit="1"/>
    </xf>
    <xf numFmtId="0" fontId="10" fillId="0" borderId="11" xfId="0" applyFont="1" applyFill="1" applyBorder="1" applyAlignment="1">
      <alignment horizontal="left" vertical="top" wrapText="1"/>
    </xf>
    <xf numFmtId="0" fontId="22" fillId="0" borderId="11" xfId="0" applyFont="1" applyFill="1" applyBorder="1" applyAlignment="1">
      <alignment horizontal="center" vertical="center" wrapText="1"/>
    </xf>
    <xf numFmtId="0" fontId="9" fillId="7" borderId="43" xfId="0" applyFont="1" applyFill="1" applyBorder="1" applyAlignment="1">
      <alignment horizontal="left" vertical="top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top" wrapText="1"/>
    </xf>
    <xf numFmtId="0" fontId="9" fillId="0" borderId="30" xfId="0" applyFont="1" applyFill="1" applyBorder="1" applyAlignment="1">
      <alignment vertical="top" wrapText="1"/>
    </xf>
    <xf numFmtId="164" fontId="13" fillId="7" borderId="44" xfId="1" applyFont="1" applyFill="1" applyBorder="1" applyAlignment="1">
      <alignment horizontal="right" vertical="top" shrinkToFit="1"/>
    </xf>
    <xf numFmtId="2" fontId="11" fillId="0" borderId="24" xfId="0" applyNumberFormat="1" applyFont="1" applyFill="1" applyBorder="1" applyAlignment="1">
      <alignment horizontal="center" vertical="center" shrinkToFit="1"/>
    </xf>
    <xf numFmtId="164" fontId="20" fillId="0" borderId="7" xfId="1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/>
    </xf>
    <xf numFmtId="164" fontId="11" fillId="0" borderId="7" xfId="1" applyFont="1" applyFill="1" applyBorder="1" applyAlignment="1">
      <alignment horizontal="center" vertical="center" shrinkToFit="1"/>
    </xf>
    <xf numFmtId="164" fontId="11" fillId="0" borderId="50" xfId="1" applyFont="1" applyFill="1" applyBorder="1" applyAlignment="1">
      <alignment horizontal="center" vertical="center" shrinkToFit="1"/>
    </xf>
    <xf numFmtId="2" fontId="11" fillId="0" borderId="11" xfId="0" applyNumberFormat="1" applyFont="1" applyFill="1" applyBorder="1" applyAlignment="1">
      <alignment horizontal="center" vertical="center" shrinkToFit="1"/>
    </xf>
    <xf numFmtId="164" fontId="11" fillId="0" borderId="11" xfId="1" applyFont="1" applyFill="1" applyBorder="1" applyAlignment="1">
      <alignment horizontal="center" vertical="center" shrinkToFit="1"/>
    </xf>
    <xf numFmtId="164" fontId="11" fillId="0" borderId="24" xfId="1" applyFont="1" applyFill="1" applyBorder="1" applyAlignment="1">
      <alignment horizontal="center" vertical="center" shrinkToFit="1"/>
    </xf>
    <xf numFmtId="164" fontId="11" fillId="0" borderId="48" xfId="1" applyFont="1" applyFill="1" applyBorder="1" applyAlignment="1">
      <alignment horizontal="center" vertical="center" shrinkToFit="1"/>
    </xf>
    <xf numFmtId="164" fontId="11" fillId="0" borderId="52" xfId="1" applyFont="1" applyFill="1" applyBorder="1" applyAlignment="1">
      <alignment horizontal="center" vertical="center" shrinkToFit="1"/>
    </xf>
    <xf numFmtId="0" fontId="12" fillId="3" borderId="54" xfId="0" applyFont="1" applyFill="1" applyBorder="1" applyAlignment="1">
      <alignment horizontal="center" vertical="center" wrapText="1"/>
    </xf>
    <xf numFmtId="0" fontId="12" fillId="3" borderId="53" xfId="0" applyFont="1" applyFill="1" applyBorder="1" applyAlignment="1">
      <alignment horizontal="center" vertical="center" wrapText="1"/>
    </xf>
    <xf numFmtId="0" fontId="12" fillId="3" borderId="55" xfId="0" applyFont="1" applyFill="1" applyBorder="1" applyAlignment="1">
      <alignment horizontal="center" vertical="center" wrapText="1"/>
    </xf>
    <xf numFmtId="164" fontId="4" fillId="0" borderId="0" xfId="1" applyFont="1" applyFill="1" applyBorder="1" applyAlignment="1">
      <alignment vertical="top" wrapText="1"/>
    </xf>
    <xf numFmtId="165" fontId="13" fillId="0" borderId="29" xfId="0" applyNumberFormat="1" applyFont="1" applyFill="1" applyBorder="1" applyAlignment="1">
      <alignment horizontal="center" vertical="center" shrinkToFit="1"/>
    </xf>
    <xf numFmtId="165" fontId="13" fillId="0" borderId="34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vertical="top"/>
    </xf>
    <xf numFmtId="0" fontId="27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vertical="top"/>
    </xf>
    <xf numFmtId="165" fontId="13" fillId="0" borderId="31" xfId="0" applyNumberFormat="1" applyFont="1" applyFill="1" applyBorder="1" applyAlignment="1">
      <alignment horizontal="center" vertical="center" shrinkToFit="1"/>
    </xf>
    <xf numFmtId="164" fontId="11" fillId="0" borderId="0" xfId="1" applyFont="1" applyFill="1" applyBorder="1" applyAlignment="1">
      <alignment horizontal="center" vertical="center" shrinkToFit="1"/>
    </xf>
    <xf numFmtId="164" fontId="31" fillId="0" borderId="65" xfId="1" applyFont="1" applyFill="1" applyBorder="1" applyAlignment="1">
      <alignment horizontal="right"/>
    </xf>
    <xf numFmtId="9" fontId="31" fillId="0" borderId="74" xfId="2" applyFont="1" applyFill="1" applyBorder="1" applyAlignment="1">
      <alignment horizontal="center"/>
    </xf>
    <xf numFmtId="9" fontId="31" fillId="0" borderId="75" xfId="2" applyFont="1" applyFill="1" applyBorder="1" applyAlignment="1">
      <alignment horizontal="center"/>
    </xf>
    <xf numFmtId="1" fontId="18" fillId="6" borderId="49" xfId="0" applyNumberFormat="1" applyFont="1" applyFill="1" applyBorder="1" applyAlignment="1">
      <alignment horizontal="right" vertical="top" indent="2" shrinkToFit="1"/>
    </xf>
    <xf numFmtId="0" fontId="6" fillId="6" borderId="47" xfId="0" applyFont="1" applyFill="1" applyBorder="1" applyAlignment="1">
      <alignment horizontal="right" vertical="top" wrapText="1" indent="1"/>
    </xf>
    <xf numFmtId="0" fontId="6" fillId="13" borderId="7" xfId="0" applyFont="1" applyFill="1" applyBorder="1" applyAlignment="1">
      <alignment horizontal="right" vertical="top" wrapText="1"/>
    </xf>
    <xf numFmtId="0" fontId="0" fillId="0" borderId="0" xfId="0" applyAlignment="1">
      <alignment horizontal="left" vertical="top"/>
    </xf>
    <xf numFmtId="0" fontId="7" fillId="0" borderId="14" xfId="0" applyFont="1" applyBorder="1" applyAlignment="1">
      <alignment horizontal="center" vertical="top" wrapText="1"/>
    </xf>
    <xf numFmtId="0" fontId="9" fillId="0" borderId="30" xfId="0" applyFont="1" applyBorder="1" applyAlignment="1">
      <alignment horizontal="right" vertical="top" wrapText="1"/>
    </xf>
    <xf numFmtId="165" fontId="13" fillId="0" borderId="29" xfId="0" applyNumberFormat="1" applyFont="1" applyBorder="1" applyAlignment="1">
      <alignment horizontal="center" vertical="center" shrinkToFit="1"/>
    </xf>
    <xf numFmtId="0" fontId="41" fillId="0" borderId="0" xfId="4" applyFont="1" applyAlignment="1">
      <alignment vertical="center"/>
    </xf>
    <xf numFmtId="0" fontId="14" fillId="0" borderId="47" xfId="0" applyFont="1" applyBorder="1" applyAlignment="1">
      <alignment horizontal="right" vertical="top" wrapText="1" indent="1"/>
    </xf>
    <xf numFmtId="10" fontId="41" fillId="0" borderId="0" xfId="2" applyNumberFormat="1" applyFont="1" applyAlignment="1">
      <alignment vertical="center"/>
    </xf>
    <xf numFmtId="0" fontId="41" fillId="0" borderId="27" xfId="4" applyFont="1" applyBorder="1"/>
    <xf numFmtId="0" fontId="42" fillId="0" borderId="28" xfId="4" applyFont="1" applyBorder="1" applyAlignment="1">
      <alignment vertical="center" wrapText="1"/>
    </xf>
    <xf numFmtId="0" fontId="41" fillId="0" borderId="28" xfId="4" applyFont="1" applyBorder="1"/>
    <xf numFmtId="0" fontId="41" fillId="0" borderId="29" xfId="4" applyFont="1" applyBorder="1"/>
    <xf numFmtId="0" fontId="41" fillId="0" borderId="30" xfId="4" applyFont="1" applyBorder="1"/>
    <xf numFmtId="0" fontId="41" fillId="0" borderId="31" xfId="4" applyFont="1" applyBorder="1"/>
    <xf numFmtId="0" fontId="42" fillId="0" borderId="0" xfId="4" applyFont="1" applyAlignment="1">
      <alignment horizontal="right" vertical="center"/>
    </xf>
    <xf numFmtId="40" fontId="41" fillId="0" borderId="0" xfId="4" applyNumberFormat="1" applyFont="1" applyAlignment="1">
      <alignment horizontal="center" vertical="center"/>
    </xf>
    <xf numFmtId="0" fontId="41" fillId="0" borderId="0" xfId="4" applyFont="1" applyAlignment="1">
      <alignment horizontal="left" vertical="center"/>
    </xf>
    <xf numFmtId="0" fontId="41" fillId="0" borderId="0" xfId="4" applyFont="1"/>
    <xf numFmtId="10" fontId="41" fillId="0" borderId="42" xfId="4" applyNumberFormat="1" applyFont="1" applyBorder="1" applyAlignment="1">
      <alignment horizontal="center" vertical="center"/>
    </xf>
    <xf numFmtId="0" fontId="41" fillId="0" borderId="0" xfId="4" applyFont="1" applyAlignment="1">
      <alignment horizontal="left"/>
    </xf>
    <xf numFmtId="9" fontId="41" fillId="0" borderId="42" xfId="4" applyNumberFormat="1" applyFont="1" applyBorder="1" applyAlignment="1">
      <alignment horizontal="center" vertical="center"/>
    </xf>
    <xf numFmtId="0" fontId="41" fillId="0" borderId="32" xfId="4" applyFont="1" applyBorder="1"/>
    <xf numFmtId="9" fontId="41" fillId="0" borderId="33" xfId="4" applyNumberFormat="1" applyFont="1" applyBorder="1" applyAlignment="1">
      <alignment horizontal="center" vertical="center"/>
    </xf>
    <xf numFmtId="0" fontId="41" fillId="0" borderId="33" xfId="4" applyFont="1" applyBorder="1" applyAlignment="1">
      <alignment horizontal="left" vertical="center"/>
    </xf>
    <xf numFmtId="0" fontId="41" fillId="0" borderId="33" xfId="4" applyFont="1" applyBorder="1"/>
    <xf numFmtId="0" fontId="41" fillId="0" borderId="34" xfId="4" applyFont="1" applyBorder="1"/>
    <xf numFmtId="165" fontId="33" fillId="0" borderId="34" xfId="0" applyNumberFormat="1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10" fontId="17" fillId="0" borderId="10" xfId="0" applyNumberFormat="1" applyFont="1" applyBorder="1" applyAlignment="1">
      <alignment horizontal="left" vertical="center" shrinkToFit="1"/>
    </xf>
    <xf numFmtId="0" fontId="38" fillId="0" borderId="0" xfId="0" applyFont="1" applyAlignment="1">
      <alignment vertical="top" wrapText="1"/>
    </xf>
    <xf numFmtId="0" fontId="9" fillId="0" borderId="27" xfId="0" applyFont="1" applyBorder="1" applyAlignment="1">
      <alignment horizontal="right" vertical="top" wrapText="1"/>
    </xf>
    <xf numFmtId="0" fontId="9" fillId="0" borderId="32" xfId="0" applyFont="1" applyBorder="1" applyAlignment="1">
      <alignment horizontal="right" vertical="top" wrapText="1"/>
    </xf>
    <xf numFmtId="14" fontId="13" fillId="0" borderId="34" xfId="0" applyNumberFormat="1" applyFont="1" applyBorder="1" applyAlignment="1">
      <alignment horizontal="center" shrinkToFit="1"/>
    </xf>
    <xf numFmtId="0" fontId="37" fillId="0" borderId="0" xfId="0" applyFont="1" applyAlignment="1">
      <alignment vertical="center" wrapText="1"/>
    </xf>
    <xf numFmtId="0" fontId="6" fillId="2" borderId="47" xfId="0" applyFont="1" applyFill="1" applyBorder="1" applyAlignment="1">
      <alignment horizontal="right" vertical="top" wrapText="1" indent="2"/>
    </xf>
    <xf numFmtId="0" fontId="6" fillId="2" borderId="48" xfId="0" applyFont="1" applyFill="1" applyBorder="1" applyAlignment="1">
      <alignment horizontal="center" vertical="top" wrapText="1"/>
    </xf>
    <xf numFmtId="0" fontId="6" fillId="0" borderId="4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1" fontId="15" fillId="0" borderId="47" xfId="0" applyNumberFormat="1" applyFont="1" applyBorder="1" applyAlignment="1">
      <alignment horizontal="center" vertical="top" shrinkToFit="1"/>
    </xf>
    <xf numFmtId="0" fontId="14" fillId="0" borderId="7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center" vertical="top" wrapText="1"/>
    </xf>
    <xf numFmtId="2" fontId="15" fillId="0" borderId="7" xfId="0" applyNumberFormat="1" applyFont="1" applyBorder="1" applyAlignment="1">
      <alignment horizontal="right" vertical="top" shrinkToFit="1"/>
    </xf>
    <xf numFmtId="4" fontId="15" fillId="0" borderId="48" xfId="0" applyNumberFormat="1" applyFont="1" applyBorder="1" applyAlignment="1">
      <alignment horizontal="right" vertical="top" shrinkToFit="1"/>
    </xf>
    <xf numFmtId="0" fontId="24" fillId="0" borderId="0" xfId="0" applyFont="1" applyAlignment="1">
      <alignment horizontal="left" vertical="top"/>
    </xf>
    <xf numFmtId="1" fontId="15" fillId="0" borderId="47" xfId="0" applyNumberFormat="1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center" vertical="center" wrapText="1"/>
    </xf>
    <xf numFmtId="4" fontId="6" fillId="13" borderId="48" xfId="0" applyNumberFormat="1" applyFont="1" applyFill="1" applyBorder="1" applyAlignment="1">
      <alignment horizontal="right" vertical="top" wrapText="1"/>
    </xf>
    <xf numFmtId="0" fontId="6" fillId="0" borderId="7" xfId="0" applyFont="1" applyBorder="1" applyAlignment="1">
      <alignment horizontal="center" vertical="top" wrapText="1"/>
    </xf>
    <xf numFmtId="0" fontId="14" fillId="0" borderId="56" xfId="0" applyFont="1" applyBorder="1" applyAlignment="1">
      <alignment horizontal="center" vertical="top" wrapText="1"/>
    </xf>
    <xf numFmtId="0" fontId="14" fillId="0" borderId="57" xfId="0" applyFont="1" applyBorder="1" applyAlignment="1">
      <alignment horizontal="center" vertical="top" wrapText="1"/>
    </xf>
    <xf numFmtId="0" fontId="14" fillId="0" borderId="57" xfId="0" applyFont="1" applyBorder="1" applyAlignment="1">
      <alignment horizontal="left" vertical="top" wrapText="1" indent="5"/>
    </xf>
    <xf numFmtId="0" fontId="14" fillId="0" borderId="58" xfId="0" applyFont="1" applyBorder="1" applyAlignment="1">
      <alignment horizontal="left" vertical="top" wrapText="1" indent="5"/>
    </xf>
    <xf numFmtId="10" fontId="8" fillId="0" borderId="17" xfId="0" applyNumberFormat="1" applyFont="1" applyBorder="1" applyAlignment="1">
      <alignment horizontal="center" vertical="top" shrinkToFit="1"/>
    </xf>
    <xf numFmtId="0" fontId="9" fillId="0" borderId="40" xfId="0" applyFont="1" applyBorder="1" applyAlignment="1">
      <alignment horizontal="right" vertical="top" wrapText="1"/>
    </xf>
    <xf numFmtId="165" fontId="13" fillId="0" borderId="40" xfId="0" applyNumberFormat="1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right" vertical="top" wrapText="1"/>
    </xf>
    <xf numFmtId="165" fontId="13" fillId="0" borderId="41" xfId="0" applyNumberFormat="1" applyFont="1" applyBorder="1" applyAlignment="1">
      <alignment horizontal="center" vertical="center" shrinkToFit="1"/>
    </xf>
    <xf numFmtId="0" fontId="34" fillId="13" borderId="60" xfId="0" applyFont="1" applyFill="1" applyBorder="1" applyAlignment="1">
      <alignment horizontal="center" vertical="center"/>
    </xf>
    <xf numFmtId="0" fontId="34" fillId="13" borderId="44" xfId="0" applyFont="1" applyFill="1" applyBorder="1" applyAlignment="1">
      <alignment horizontal="center" vertical="center"/>
    </xf>
    <xf numFmtId="0" fontId="30" fillId="0" borderId="36" xfId="0" applyFont="1" applyBorder="1" applyAlignment="1">
      <alignment horizontal="center" wrapText="1"/>
    </xf>
    <xf numFmtId="10" fontId="31" fillId="0" borderId="35" xfId="0" applyNumberFormat="1" applyFont="1" applyBorder="1" applyAlignment="1">
      <alignment horizontal="center" shrinkToFit="1"/>
    </xf>
    <xf numFmtId="10" fontId="31" fillId="0" borderId="24" xfId="0" applyNumberFormat="1" applyFont="1" applyBorder="1" applyAlignment="1">
      <alignment horizontal="center" shrinkToFit="1"/>
    </xf>
    <xf numFmtId="10" fontId="31" fillId="11" borderId="73" xfId="0" applyNumberFormat="1" applyFont="1" applyFill="1" applyBorder="1" applyAlignment="1">
      <alignment horizontal="center" shrinkToFit="1"/>
    </xf>
    <xf numFmtId="9" fontId="31" fillId="11" borderId="60" xfId="2" applyFont="1" applyFill="1" applyBorder="1" applyAlignment="1">
      <alignment horizontal="center"/>
    </xf>
    <xf numFmtId="164" fontId="31" fillId="11" borderId="44" xfId="1" applyFont="1" applyFill="1" applyBorder="1" applyAlignment="1">
      <alignment horizontal="right"/>
    </xf>
    <xf numFmtId="9" fontId="31" fillId="13" borderId="60" xfId="2" applyFont="1" applyFill="1" applyBorder="1" applyAlignment="1">
      <alignment horizontal="center"/>
    </xf>
    <xf numFmtId="164" fontId="34" fillId="13" borderId="44" xfId="1" applyFont="1" applyFill="1" applyBorder="1" applyAlignment="1">
      <alignment horizontal="right"/>
    </xf>
    <xf numFmtId="0" fontId="10" fillId="0" borderId="0" xfId="0" applyFont="1" applyAlignment="1">
      <alignment horizontal="right" vertical="center" wrapText="1" indent="1"/>
    </xf>
    <xf numFmtId="1" fontId="11" fillId="0" borderId="0" xfId="0" applyNumberFormat="1" applyFont="1" applyAlignment="1">
      <alignment horizontal="center" vertical="center" shrinkToFi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 shrinkToFit="1"/>
    </xf>
    <xf numFmtId="0" fontId="20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0" fillId="0" borderId="0" xfId="0" applyAlignment="1">
      <alignment vertical="top"/>
    </xf>
    <xf numFmtId="0" fontId="9" fillId="0" borderId="0" xfId="0" applyFont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/>
    <xf numFmtId="0" fontId="0" fillId="0" borderId="0" xfId="0" applyAlignment="1">
      <alignment horizontal="left" vertical="center"/>
    </xf>
    <xf numFmtId="0" fontId="15" fillId="0" borderId="0" xfId="0" applyFont="1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36" fillId="0" borderId="0" xfId="0" applyFont="1" applyAlignment="1">
      <alignment vertical="top"/>
    </xf>
    <xf numFmtId="164" fontId="0" fillId="0" borderId="0" xfId="0" applyNumberFormat="1" applyAlignment="1">
      <alignment horizontal="left" vertical="top"/>
    </xf>
    <xf numFmtId="1" fontId="11" fillId="0" borderId="24" xfId="0" applyNumberFormat="1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left" vertical="top" wrapText="1"/>
    </xf>
    <xf numFmtId="2" fontId="11" fillId="0" borderId="24" xfId="0" applyNumberFormat="1" applyFont="1" applyBorder="1" applyAlignment="1">
      <alignment horizontal="center" vertical="center" shrinkToFit="1"/>
    </xf>
    <xf numFmtId="164" fontId="20" fillId="0" borderId="24" xfId="1" applyFont="1" applyFill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 wrapText="1"/>
    </xf>
    <xf numFmtId="164" fontId="20" fillId="0" borderId="35" xfId="1" applyFont="1" applyFill="1" applyBorder="1" applyAlignment="1">
      <alignment horizontal="center" vertical="center" shrinkToFit="1"/>
    </xf>
    <xf numFmtId="0" fontId="23" fillId="0" borderId="0" xfId="0" applyFont="1" applyAlignment="1">
      <alignment horizontal="left" vertical="top"/>
    </xf>
    <xf numFmtId="0" fontId="29" fillId="0" borderId="8" xfId="0" applyFont="1" applyBorder="1" applyAlignment="1">
      <alignment horizontal="center" vertical="center" wrapText="1"/>
    </xf>
    <xf numFmtId="10" fontId="33" fillId="0" borderId="10" xfId="0" applyNumberFormat="1" applyFont="1" applyBorder="1" applyAlignment="1">
      <alignment horizontal="left" vertical="center" shrinkToFit="1"/>
    </xf>
    <xf numFmtId="0" fontId="6" fillId="2" borderId="47" xfId="0" applyFont="1" applyFill="1" applyBorder="1" applyAlignment="1">
      <alignment horizontal="center" vertical="top" wrapText="1"/>
    </xf>
    <xf numFmtId="2" fontId="44" fillId="0" borderId="7" xfId="0" applyNumberFormat="1" applyFont="1" applyBorder="1" applyAlignment="1">
      <alignment horizontal="right" vertical="top" shrinkToFit="1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10" fillId="0" borderId="49" xfId="0" applyFont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left" vertical="top" wrapText="1"/>
    </xf>
    <xf numFmtId="0" fontId="10" fillId="0" borderId="11" xfId="0" applyFont="1" applyBorder="1" applyAlignment="1">
      <alignment horizontal="center" vertical="center" wrapText="1"/>
    </xf>
    <xf numFmtId="0" fontId="28" fillId="0" borderId="0" xfId="4"/>
    <xf numFmtId="0" fontId="28" fillId="0" borderId="38" xfId="4" applyBorder="1" applyAlignment="1">
      <alignment vertical="center"/>
    </xf>
    <xf numFmtId="0" fontId="28" fillId="0" borderId="39" xfId="4" applyBorder="1" applyAlignment="1">
      <alignment vertical="center"/>
    </xf>
    <xf numFmtId="0" fontId="28" fillId="0" borderId="38" xfId="4" applyBorder="1"/>
    <xf numFmtId="0" fontId="28" fillId="0" borderId="24" xfId="4" applyBorder="1"/>
    <xf numFmtId="10" fontId="28" fillId="0" borderId="39" xfId="2" applyNumberFormat="1" applyFont="1" applyBorder="1"/>
    <xf numFmtId="10" fontId="28" fillId="0" borderId="38" xfId="2" applyNumberFormat="1" applyFont="1" applyBorder="1" applyAlignment="1">
      <alignment vertical="center"/>
    </xf>
    <xf numFmtId="10" fontId="28" fillId="0" borderId="39" xfId="2" applyNumberFormat="1" applyFont="1" applyBorder="1" applyAlignment="1">
      <alignment vertical="center"/>
    </xf>
    <xf numFmtId="0" fontId="28" fillId="0" borderId="87" xfId="4" applyBorder="1"/>
    <xf numFmtId="0" fontId="28" fillId="0" borderId="51" xfId="4" applyBorder="1"/>
    <xf numFmtId="0" fontId="28" fillId="0" borderId="88" xfId="4" applyBorder="1"/>
    <xf numFmtId="10" fontId="28" fillId="0" borderId="87" xfId="2" applyNumberFormat="1" applyFont="1" applyBorder="1" applyAlignment="1">
      <alignment vertical="center"/>
    </xf>
    <xf numFmtId="10" fontId="28" fillId="0" borderId="88" xfId="2" applyNumberFormat="1" applyFont="1" applyBorder="1" applyAlignment="1">
      <alignment vertical="center"/>
    </xf>
    <xf numFmtId="10" fontId="28" fillId="0" borderId="69" xfId="2" applyNumberFormat="1" applyFont="1" applyBorder="1" applyAlignment="1">
      <alignment vertical="center"/>
    </xf>
    <xf numFmtId="10" fontId="28" fillId="0" borderId="73" xfId="2" applyNumberFormat="1" applyFont="1" applyBorder="1" applyAlignment="1">
      <alignment vertical="center"/>
    </xf>
    <xf numFmtId="10" fontId="28" fillId="0" borderId="66" xfId="2" applyNumberFormat="1" applyFont="1" applyBorder="1" applyAlignment="1">
      <alignment vertical="center"/>
    </xf>
    <xf numFmtId="0" fontId="28" fillId="13" borderId="24" xfId="4" applyFill="1" applyBorder="1" applyAlignment="1">
      <alignment vertical="center"/>
    </xf>
    <xf numFmtId="10" fontId="28" fillId="13" borderId="24" xfId="2" applyNumberFormat="1" applyFont="1" applyFill="1" applyBorder="1" applyAlignment="1">
      <alignment vertical="center"/>
    </xf>
    <xf numFmtId="10" fontId="28" fillId="13" borderId="51" xfId="2" applyNumberFormat="1" applyFont="1" applyFill="1" applyBorder="1" applyAlignment="1">
      <alignment vertical="center"/>
    </xf>
    <xf numFmtId="1" fontId="11" fillId="0" borderId="11" xfId="0" applyNumberFormat="1" applyFont="1" applyBorder="1" applyAlignment="1">
      <alignment horizontal="center" vertical="center" shrinkToFit="1"/>
    </xf>
    <xf numFmtId="2" fontId="11" fillId="0" borderId="11" xfId="0" applyNumberFormat="1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left" vertical="center" wrapText="1"/>
    </xf>
    <xf numFmtId="0" fontId="23" fillId="0" borderId="0" xfId="0" applyFont="1" applyFill="1" applyBorder="1" applyAlignment="1">
      <alignment horizontal="left" vertical="top"/>
    </xf>
    <xf numFmtId="0" fontId="10" fillId="0" borderId="49" xfId="0" applyFont="1" applyFill="1" applyBorder="1" applyAlignment="1">
      <alignment horizontal="center" vertical="center" wrapText="1"/>
    </xf>
    <xf numFmtId="0" fontId="10" fillId="0" borderId="52" xfId="0" applyFont="1" applyFill="1" applyBorder="1" applyAlignment="1">
      <alignment horizontal="left" vertical="top" wrapText="1"/>
    </xf>
    <xf numFmtId="0" fontId="10" fillId="0" borderId="52" xfId="0" applyFont="1" applyFill="1" applyBorder="1" applyAlignment="1">
      <alignment horizontal="center" vertical="center" wrapText="1"/>
    </xf>
    <xf numFmtId="2" fontId="11" fillId="0" borderId="52" xfId="0" applyNumberFormat="1" applyFont="1" applyFill="1" applyBorder="1" applyAlignment="1">
      <alignment horizontal="center" vertical="center" shrinkToFit="1"/>
    </xf>
    <xf numFmtId="0" fontId="10" fillId="0" borderId="79" xfId="0" applyFont="1" applyBorder="1" applyAlignment="1">
      <alignment horizontal="center" vertical="center" wrapText="1"/>
    </xf>
    <xf numFmtId="1" fontId="11" fillId="0" borderId="52" xfId="0" applyNumberFormat="1" applyFont="1" applyFill="1" applyBorder="1" applyAlignment="1">
      <alignment horizontal="center" vertical="center" shrinkToFit="1"/>
    </xf>
    <xf numFmtId="0" fontId="9" fillId="7" borderId="42" xfId="0" applyFont="1" applyFill="1" applyBorder="1" applyAlignment="1">
      <alignment horizontal="center" vertical="top" wrapText="1"/>
    </xf>
    <xf numFmtId="166" fontId="11" fillId="0" borderId="24" xfId="0" applyNumberFormat="1" applyFont="1" applyBorder="1" applyAlignment="1">
      <alignment horizontal="center" vertical="center" shrinkToFit="1"/>
    </xf>
    <xf numFmtId="164" fontId="20" fillId="0" borderId="11" xfId="1" applyFont="1" applyFill="1" applyBorder="1" applyAlignment="1">
      <alignment horizontal="center" vertical="center" shrinkToFit="1"/>
    </xf>
    <xf numFmtId="0" fontId="10" fillId="0" borderId="47" xfId="0" applyFont="1" applyBorder="1" applyAlignment="1">
      <alignment horizontal="center" vertical="center" wrapText="1"/>
    </xf>
    <xf numFmtId="1" fontId="11" fillId="0" borderId="35" xfId="0" applyNumberFormat="1" applyFont="1" applyFill="1" applyBorder="1" applyAlignment="1">
      <alignment horizontal="center" vertical="center" shrinkToFit="1"/>
    </xf>
    <xf numFmtId="0" fontId="10" fillId="0" borderId="35" xfId="0" applyFont="1" applyFill="1" applyBorder="1" applyAlignment="1">
      <alignment horizontal="left" vertical="top" wrapText="1"/>
    </xf>
    <xf numFmtId="0" fontId="10" fillId="0" borderId="35" xfId="0" applyFont="1" applyFill="1" applyBorder="1" applyAlignment="1">
      <alignment horizontal="center" vertical="center" wrapText="1"/>
    </xf>
    <xf numFmtId="2" fontId="11" fillId="0" borderId="35" xfId="0" applyNumberFormat="1" applyFont="1" applyFill="1" applyBorder="1" applyAlignment="1">
      <alignment horizontal="center" vertical="center" shrinkToFit="1"/>
    </xf>
    <xf numFmtId="0" fontId="0" fillId="7" borderId="43" xfId="0" applyFill="1" applyBorder="1" applyAlignment="1">
      <alignment horizontal="center" vertical="center" wrapText="1"/>
    </xf>
    <xf numFmtId="2" fontId="44" fillId="0" borderId="7" xfId="0" applyNumberFormat="1" applyFont="1" applyBorder="1" applyAlignment="1">
      <alignment horizontal="right" vertical="center" shrinkToFit="1"/>
    </xf>
    <xf numFmtId="165" fontId="13" fillId="0" borderId="31" xfId="0" applyNumberFormat="1" applyFont="1" applyBorder="1" applyAlignment="1">
      <alignment horizontal="center" vertical="center" shrinkToFit="1"/>
    </xf>
    <xf numFmtId="0" fontId="9" fillId="4" borderId="8" xfId="0" applyFont="1" applyFill="1" applyBorder="1" applyAlignment="1">
      <alignment horizontal="left" vertical="top" wrapText="1" indent="2"/>
    </xf>
    <xf numFmtId="0" fontId="9" fillId="4" borderId="10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 indent="2"/>
    </xf>
    <xf numFmtId="1" fontId="11" fillId="0" borderId="7" xfId="0" applyNumberFormat="1" applyFont="1" applyBorder="1" applyAlignment="1">
      <alignment horizontal="center" vertical="center" shrinkToFit="1"/>
    </xf>
    <xf numFmtId="0" fontId="46" fillId="0" borderId="7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center" vertical="center" wrapText="1"/>
    </xf>
    <xf numFmtId="2" fontId="43" fillId="0" borderId="7" xfId="0" applyNumberFormat="1" applyFont="1" applyBorder="1" applyAlignment="1">
      <alignment horizontal="right" vertical="center" shrinkToFit="1"/>
    </xf>
    <xf numFmtId="4" fontId="11" fillId="0" borderId="7" xfId="0" applyNumberFormat="1" applyFont="1" applyBorder="1" applyAlignment="1">
      <alignment horizontal="right" vertical="center" shrinkToFit="1"/>
    </xf>
    <xf numFmtId="1" fontId="11" fillId="0" borderId="7" xfId="0" applyNumberFormat="1" applyFont="1" applyBorder="1" applyAlignment="1">
      <alignment horizontal="center" vertical="top" shrinkToFit="1"/>
    </xf>
    <xf numFmtId="0" fontId="10" fillId="0" borderId="7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center" vertical="top" wrapText="1"/>
    </xf>
    <xf numFmtId="2" fontId="43" fillId="0" borderId="7" xfId="0" applyNumberFormat="1" applyFont="1" applyBorder="1" applyAlignment="1">
      <alignment horizontal="right" vertical="top" shrinkToFit="1"/>
    </xf>
    <xf numFmtId="0" fontId="27" fillId="0" borderId="32" xfId="0" applyFont="1" applyBorder="1" applyAlignment="1">
      <alignment vertical="top"/>
    </xf>
    <xf numFmtId="0" fontId="27" fillId="0" borderId="33" xfId="0" applyFont="1" applyBorder="1" applyAlignment="1">
      <alignment vertical="top"/>
    </xf>
    <xf numFmtId="0" fontId="27" fillId="0" borderId="34" xfId="0" applyFont="1" applyBorder="1" applyAlignment="1">
      <alignment vertical="top"/>
    </xf>
    <xf numFmtId="0" fontId="47" fillId="0" borderId="30" xfId="0" applyFont="1" applyBorder="1" applyAlignment="1">
      <alignment vertical="top"/>
    </xf>
    <xf numFmtId="0" fontId="27" fillId="0" borderId="0" xfId="0" applyFont="1" applyAlignment="1">
      <alignment vertical="top"/>
    </xf>
    <xf numFmtId="0" fontId="47" fillId="0" borderId="0" xfId="0" applyFont="1" applyAlignment="1">
      <alignment vertical="top"/>
    </xf>
    <xf numFmtId="0" fontId="27" fillId="0" borderId="31" xfId="0" applyFont="1" applyBorder="1" applyAlignment="1">
      <alignment vertical="top"/>
    </xf>
    <xf numFmtId="0" fontId="0" fillId="0" borderId="7" xfId="0" applyBorder="1" applyAlignment="1">
      <alignment horizontal="left" vertical="top" wrapText="1"/>
    </xf>
    <xf numFmtId="0" fontId="51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15" fillId="0" borderId="0" xfId="0" applyFont="1" applyFill="1" applyBorder="1" applyAlignment="1">
      <alignment vertical="top"/>
    </xf>
    <xf numFmtId="10" fontId="5" fillId="6" borderId="54" xfId="0" applyNumberFormat="1" applyFont="1" applyFill="1" applyBorder="1" applyAlignment="1">
      <alignment horizontal="center" vertical="center" shrinkToFit="1"/>
    </xf>
    <xf numFmtId="0" fontId="10" fillId="0" borderId="11" xfId="0" applyFont="1" applyFill="1" applyBorder="1" applyAlignment="1">
      <alignment horizontal="center" vertical="top" wrapText="1"/>
    </xf>
    <xf numFmtId="0" fontId="9" fillId="7" borderId="4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/>
    </xf>
    <xf numFmtId="2" fontId="11" fillId="0" borderId="4" xfId="0" applyNumberFormat="1" applyFont="1" applyBorder="1" applyAlignment="1">
      <alignment horizontal="center" vertical="center" shrinkToFit="1"/>
    </xf>
    <xf numFmtId="164" fontId="11" fillId="0" borderId="4" xfId="1" applyFont="1" applyFill="1" applyBorder="1" applyAlignment="1">
      <alignment horizontal="center" vertical="center" shrinkToFit="1"/>
    </xf>
    <xf numFmtId="164" fontId="11" fillId="0" borderId="89" xfId="1" applyFont="1" applyFill="1" applyBorder="1" applyAlignment="1">
      <alignment horizontal="center" vertical="center" shrinkToFit="1"/>
    </xf>
    <xf numFmtId="0" fontId="20" fillId="0" borderId="11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9" fillId="7" borderId="43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164" fontId="20" fillId="0" borderId="52" xfId="1" applyFont="1" applyFill="1" applyBorder="1" applyAlignment="1">
      <alignment horizontal="center" vertical="center" shrinkToFit="1"/>
    </xf>
    <xf numFmtId="0" fontId="10" fillId="0" borderId="38" xfId="0" applyFont="1" applyBorder="1" applyAlignment="1">
      <alignment horizontal="center" vertical="center" wrapText="1"/>
    </xf>
    <xf numFmtId="10" fontId="17" fillId="0" borderId="10" xfId="0" applyNumberFormat="1" applyFont="1" applyBorder="1" applyAlignment="1">
      <alignment horizontal="center" vertical="center" shrinkToFit="1"/>
    </xf>
    <xf numFmtId="167" fontId="11" fillId="0" borderId="7" xfId="0" applyNumberFormat="1" applyFont="1" applyFill="1" applyBorder="1" applyAlignment="1">
      <alignment horizontal="right" vertical="center" shrinkToFit="1"/>
    </xf>
    <xf numFmtId="167" fontId="11" fillId="0" borderId="7" xfId="0" applyNumberFormat="1" applyFont="1" applyFill="1" applyBorder="1" applyAlignment="1">
      <alignment horizontal="right" vertical="top" shrinkToFit="1"/>
    </xf>
    <xf numFmtId="2" fontId="11" fillId="0" borderId="7" xfId="0" applyNumberFormat="1" applyFont="1" applyFill="1" applyBorder="1" applyAlignment="1">
      <alignment horizontal="right" vertical="top" shrinkToFit="1"/>
    </xf>
    <xf numFmtId="2" fontId="11" fillId="0" borderId="7" xfId="0" applyNumberFormat="1" applyFont="1" applyFill="1" applyBorder="1" applyAlignment="1">
      <alignment horizontal="right" vertical="center" shrinkToFit="1"/>
    </xf>
    <xf numFmtId="0" fontId="9" fillId="13" borderId="8" xfId="0" applyFont="1" applyFill="1" applyBorder="1" applyAlignment="1">
      <alignment horizontal="right" vertical="top" wrapText="1"/>
    </xf>
    <xf numFmtId="4" fontId="9" fillId="13" borderId="10" xfId="0" applyNumberFormat="1" applyFont="1" applyFill="1" applyBorder="1" applyAlignment="1">
      <alignment horizontal="right" vertical="top" wrapText="1"/>
    </xf>
    <xf numFmtId="0" fontId="49" fillId="11" borderId="7" xfId="0" applyFont="1" applyFill="1" applyBorder="1" applyAlignment="1">
      <alignment horizontal="left" wrapText="1"/>
    </xf>
    <xf numFmtId="0" fontId="50" fillId="11" borderId="7" xfId="0" applyFont="1" applyFill="1" applyBorder="1" applyAlignment="1">
      <alignment horizontal="center" vertical="center" wrapText="1"/>
    </xf>
    <xf numFmtId="0" fontId="48" fillId="11" borderId="8" xfId="0" applyFont="1" applyFill="1" applyBorder="1" applyAlignment="1">
      <alignment horizontal="left" vertical="top" wrapText="1"/>
    </xf>
    <xf numFmtId="0" fontId="48" fillId="11" borderId="9" xfId="0" applyFont="1" applyFill="1" applyBorder="1" applyAlignment="1">
      <alignment horizontal="left" vertical="top" wrapText="1"/>
    </xf>
    <xf numFmtId="0" fontId="49" fillId="11" borderId="9" xfId="0" applyFont="1" applyFill="1" applyBorder="1" applyAlignment="1">
      <alignment horizontal="left" wrapText="1"/>
    </xf>
    <xf numFmtId="0" fontId="49" fillId="11" borderId="10" xfId="0" applyFont="1" applyFill="1" applyBorder="1" applyAlignment="1">
      <alignment horizontal="left" wrapText="1"/>
    </xf>
    <xf numFmtId="0" fontId="46" fillId="11" borderId="9" xfId="0" applyFont="1" applyFill="1" applyBorder="1" applyAlignment="1">
      <alignment horizontal="left" wrapText="1"/>
    </xf>
    <xf numFmtId="0" fontId="46" fillId="11" borderId="10" xfId="0" applyFont="1" applyFill="1" applyBorder="1" applyAlignment="1">
      <alignment horizontal="left" wrapText="1"/>
    </xf>
    <xf numFmtId="0" fontId="10" fillId="0" borderId="38" xfId="0" applyFont="1" applyFill="1" applyBorder="1" applyAlignment="1">
      <alignment horizontal="center" vertical="center" wrapText="1"/>
    </xf>
    <xf numFmtId="164" fontId="11" fillId="0" borderId="39" xfId="1" applyFont="1" applyFill="1" applyBorder="1" applyAlignment="1">
      <alignment horizontal="center" vertical="center" shrinkToFit="1"/>
    </xf>
    <xf numFmtId="0" fontId="10" fillId="0" borderId="90" xfId="0" applyFont="1" applyFill="1" applyBorder="1" applyAlignment="1">
      <alignment horizontal="center" vertical="center" wrapText="1"/>
    </xf>
    <xf numFmtId="164" fontId="11" fillId="0" borderId="91" xfId="1" applyFont="1" applyFill="1" applyBorder="1" applyAlignment="1">
      <alignment horizontal="center" vertical="center" shrinkToFit="1"/>
    </xf>
    <xf numFmtId="164" fontId="20" fillId="0" borderId="37" xfId="1" applyFont="1" applyFill="1" applyBorder="1" applyAlignment="1">
      <alignment horizontal="center" vertical="center" shrinkToFit="1"/>
    </xf>
    <xf numFmtId="0" fontId="10" fillId="0" borderId="36" xfId="0" applyFont="1" applyFill="1" applyBorder="1" applyAlignment="1">
      <alignment horizontal="right" vertical="top" wrapText="1" indent="1"/>
    </xf>
    <xf numFmtId="0" fontId="10" fillId="0" borderId="36" xfId="0" applyFont="1" applyFill="1" applyBorder="1" applyAlignment="1">
      <alignment horizontal="center" vertical="top" wrapText="1"/>
    </xf>
    <xf numFmtId="0" fontId="10" fillId="0" borderId="92" xfId="0" applyFont="1" applyBorder="1" applyAlignment="1">
      <alignment horizontal="center" vertical="center" wrapText="1"/>
    </xf>
    <xf numFmtId="1" fontId="11" fillId="0" borderId="51" xfId="0" applyNumberFormat="1" applyFont="1" applyBorder="1" applyAlignment="1">
      <alignment horizontal="center" vertical="center" shrinkToFit="1"/>
    </xf>
    <xf numFmtId="0" fontId="10" fillId="0" borderId="51" xfId="0" applyFont="1" applyBorder="1" applyAlignment="1">
      <alignment horizontal="left" vertical="top" wrapText="1"/>
    </xf>
    <xf numFmtId="0" fontId="10" fillId="0" borderId="51" xfId="0" applyFont="1" applyBorder="1" applyAlignment="1">
      <alignment horizontal="center" vertical="center" wrapText="1"/>
    </xf>
    <xf numFmtId="166" fontId="11" fillId="0" borderId="51" xfId="0" applyNumberFormat="1" applyFont="1" applyBorder="1" applyAlignment="1">
      <alignment horizontal="center" vertical="center" shrinkToFit="1"/>
    </xf>
    <xf numFmtId="164" fontId="20" fillId="0" borderId="93" xfId="1" applyFont="1" applyFill="1" applyBorder="1" applyAlignment="1">
      <alignment horizontal="center" vertical="center" shrinkToFit="1"/>
    </xf>
    <xf numFmtId="164" fontId="20" fillId="0" borderId="94" xfId="1" applyFont="1" applyFill="1" applyBorder="1" applyAlignment="1">
      <alignment horizontal="center" vertical="center" shrinkToFit="1"/>
    </xf>
    <xf numFmtId="164" fontId="20" fillId="0" borderId="95" xfId="1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left" vertical="top" wrapText="1" indent="6"/>
    </xf>
    <xf numFmtId="0" fontId="2" fillId="0" borderId="13" xfId="0" applyFont="1" applyFill="1" applyBorder="1" applyAlignment="1">
      <alignment horizontal="left" vertical="top" wrapText="1" indent="6"/>
    </xf>
    <xf numFmtId="0" fontId="2" fillId="0" borderId="19" xfId="0" applyFont="1" applyFill="1" applyBorder="1" applyAlignment="1">
      <alignment horizontal="left" vertical="top" wrapText="1" indent="6"/>
    </xf>
    <xf numFmtId="0" fontId="2" fillId="0" borderId="20" xfId="0" applyFont="1" applyFill="1" applyBorder="1" applyAlignment="1">
      <alignment horizontal="left" vertical="top" wrapText="1" indent="6"/>
    </xf>
    <xf numFmtId="164" fontId="3" fillId="0" borderId="13" xfId="1" applyFont="1" applyFill="1" applyBorder="1" applyAlignment="1">
      <alignment horizontal="left" vertical="top" shrinkToFit="1"/>
    </xf>
    <xf numFmtId="164" fontId="3" fillId="0" borderId="23" xfId="1" applyFont="1" applyFill="1" applyBorder="1" applyAlignment="1">
      <alignment horizontal="left" vertical="top" shrinkToFit="1"/>
    </xf>
    <xf numFmtId="164" fontId="3" fillId="0" borderId="20" xfId="1" applyFont="1" applyFill="1" applyBorder="1" applyAlignment="1">
      <alignment horizontal="left" vertical="top" shrinkToFit="1"/>
    </xf>
    <xf numFmtId="164" fontId="3" fillId="0" borderId="21" xfId="1" applyFont="1" applyFill="1" applyBorder="1" applyAlignment="1">
      <alignment horizontal="left" vertical="top" shrinkToFit="1"/>
    </xf>
    <xf numFmtId="0" fontId="4" fillId="11" borderId="42" xfId="0" applyFont="1" applyFill="1" applyBorder="1" applyAlignment="1">
      <alignment horizontal="right" vertical="top" wrapText="1"/>
    </xf>
    <xf numFmtId="0" fontId="4" fillId="11" borderId="43" xfId="0" applyFont="1" applyFill="1" applyBorder="1" applyAlignment="1">
      <alignment horizontal="right" vertical="top" wrapText="1"/>
    </xf>
    <xf numFmtId="0" fontId="4" fillId="11" borderId="61" xfId="0" applyFont="1" applyFill="1" applyBorder="1" applyAlignment="1">
      <alignment horizontal="right" vertical="top" wrapText="1"/>
    </xf>
    <xf numFmtId="164" fontId="4" fillId="6" borderId="62" xfId="1" applyFont="1" applyFill="1" applyBorder="1" applyAlignment="1">
      <alignment horizontal="left" vertical="top" wrapText="1"/>
    </xf>
    <xf numFmtId="164" fontId="4" fillId="6" borderId="44" xfId="1" applyFont="1" applyFill="1" applyBorder="1" applyAlignment="1">
      <alignment horizontal="left" vertical="top" wrapText="1"/>
    </xf>
    <xf numFmtId="0" fontId="0" fillId="9" borderId="42" xfId="0" applyFill="1" applyBorder="1" applyAlignment="1">
      <alignment horizontal="left" wrapText="1"/>
    </xf>
    <xf numFmtId="0" fontId="0" fillId="9" borderId="43" xfId="0" applyFill="1" applyBorder="1" applyAlignment="1">
      <alignment horizontal="left" wrapText="1"/>
    </xf>
    <xf numFmtId="0" fontId="0" fillId="9" borderId="44" xfId="0" applyFill="1" applyBorder="1" applyAlignment="1">
      <alignment horizontal="left" wrapText="1"/>
    </xf>
    <xf numFmtId="0" fontId="0" fillId="0" borderId="3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31" xfId="0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 indent="3"/>
    </xf>
    <xf numFmtId="0" fontId="6" fillId="0" borderId="9" xfId="0" applyFont="1" applyFill="1" applyBorder="1" applyAlignment="1">
      <alignment horizontal="left" vertical="top" wrapText="1" indent="3"/>
    </xf>
    <xf numFmtId="0" fontId="6" fillId="0" borderId="10" xfId="0" applyFont="1" applyFill="1" applyBorder="1" applyAlignment="1">
      <alignment horizontal="left" vertical="top" wrapText="1" indent="3"/>
    </xf>
    <xf numFmtId="10" fontId="8" fillId="0" borderId="17" xfId="0" applyNumberFormat="1" applyFont="1" applyFill="1" applyBorder="1" applyAlignment="1">
      <alignment horizontal="left" vertical="top" indent="2" shrinkToFit="1"/>
    </xf>
    <xf numFmtId="10" fontId="8" fillId="0" borderId="15" xfId="0" applyNumberFormat="1" applyFont="1" applyFill="1" applyBorder="1" applyAlignment="1">
      <alignment horizontal="left" vertical="top" indent="2" shrinkToFit="1"/>
    </xf>
    <xf numFmtId="0" fontId="37" fillId="10" borderId="42" xfId="0" applyFont="1" applyFill="1" applyBorder="1" applyAlignment="1">
      <alignment horizontal="center" vertical="center" wrapText="1"/>
    </xf>
    <xf numFmtId="0" fontId="37" fillId="10" borderId="43" xfId="0" applyFont="1" applyFill="1" applyBorder="1" applyAlignment="1">
      <alignment horizontal="center" vertical="center" wrapText="1"/>
    </xf>
    <xf numFmtId="0" fontId="37" fillId="10" borderId="44" xfId="0" applyFont="1" applyFill="1" applyBorder="1" applyAlignment="1">
      <alignment horizontal="center" vertical="center" wrapText="1"/>
    </xf>
    <xf numFmtId="0" fontId="39" fillId="2" borderId="42" xfId="0" applyFont="1" applyFill="1" applyBorder="1" applyAlignment="1">
      <alignment horizontal="center" vertical="center" wrapText="1"/>
    </xf>
    <xf numFmtId="0" fontId="39" fillId="2" borderId="43" xfId="0" applyFont="1" applyFill="1" applyBorder="1" applyAlignment="1">
      <alignment horizontal="center" vertical="center" wrapText="1"/>
    </xf>
    <xf numFmtId="0" fontId="39" fillId="2" borderId="4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29" fillId="0" borderId="28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top" wrapText="1"/>
    </xf>
    <xf numFmtId="0" fontId="35" fillId="0" borderId="59" xfId="0" applyFont="1" applyFill="1" applyBorder="1" applyAlignment="1">
      <alignment horizontal="center" vertical="center" wrapText="1"/>
    </xf>
    <xf numFmtId="0" fontId="35" fillId="0" borderId="4" xfId="0" applyFont="1" applyFill="1" applyBorder="1" applyAlignment="1">
      <alignment horizontal="center" vertical="center" wrapText="1"/>
    </xf>
    <xf numFmtId="0" fontId="35" fillId="0" borderId="25" xfId="0" applyFont="1" applyFill="1" applyBorder="1" applyAlignment="1">
      <alignment horizontal="center" vertical="center" wrapText="1"/>
    </xf>
    <xf numFmtId="0" fontId="12" fillId="5" borderId="38" xfId="0" applyFont="1" applyFill="1" applyBorder="1" applyAlignment="1">
      <alignment horizontal="center" vertical="top" wrapText="1"/>
    </xf>
    <xf numFmtId="0" fontId="12" fillId="5" borderId="24" xfId="0" applyFont="1" applyFill="1" applyBorder="1" applyAlignment="1">
      <alignment horizontal="center" vertical="top" wrapText="1"/>
    </xf>
    <xf numFmtId="0" fontId="12" fillId="5" borderId="39" xfId="0" applyFont="1" applyFill="1" applyBorder="1" applyAlignment="1">
      <alignment horizontal="center" vertical="top" wrapText="1"/>
    </xf>
    <xf numFmtId="164" fontId="4" fillId="0" borderId="42" xfId="1" applyFont="1" applyFill="1" applyBorder="1" applyAlignment="1">
      <alignment horizontal="center" vertical="top" wrapText="1"/>
    </xf>
    <xf numFmtId="164" fontId="4" fillId="0" borderId="44" xfId="1" applyFont="1" applyFill="1" applyBorder="1" applyAlignment="1">
      <alignment horizontal="center" vertical="top" wrapText="1"/>
    </xf>
    <xf numFmtId="0" fontId="12" fillId="5" borderId="36" xfId="0" applyFont="1" applyFill="1" applyBorder="1" applyAlignment="1">
      <alignment horizontal="center" vertical="top" wrapText="1"/>
    </xf>
    <xf numFmtId="0" fontId="12" fillId="5" borderId="35" xfId="0" applyFont="1" applyFill="1" applyBorder="1" applyAlignment="1">
      <alignment horizontal="center" vertical="top" wrapText="1"/>
    </xf>
    <xf numFmtId="0" fontId="12" fillId="5" borderId="37" xfId="0" applyFont="1" applyFill="1" applyBorder="1" applyAlignment="1">
      <alignment horizontal="center" vertical="top" wrapText="1"/>
    </xf>
    <xf numFmtId="0" fontId="35" fillId="0" borderId="59" xfId="0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horizontal="center" vertical="center"/>
    </xf>
    <xf numFmtId="0" fontId="35" fillId="0" borderId="25" xfId="0" applyFont="1" applyFill="1" applyBorder="1" applyAlignment="1">
      <alignment horizontal="center" vertical="center"/>
    </xf>
    <xf numFmtId="0" fontId="0" fillId="8" borderId="45" xfId="0" applyFill="1" applyBorder="1" applyAlignment="1">
      <alignment horizontal="left" wrapText="1"/>
    </xf>
    <xf numFmtId="0" fontId="0" fillId="8" borderId="17" xfId="0" applyFill="1" applyBorder="1" applyAlignment="1">
      <alignment horizontal="left" wrapText="1"/>
    </xf>
    <xf numFmtId="0" fontId="0" fillId="8" borderId="46" xfId="0" applyFill="1" applyBorder="1" applyAlignment="1">
      <alignment horizontal="left" wrapText="1"/>
    </xf>
    <xf numFmtId="0" fontId="0" fillId="8" borderId="30" xfId="0" applyFill="1" applyBorder="1" applyAlignment="1">
      <alignment horizontal="left" wrapText="1"/>
    </xf>
    <xf numFmtId="0" fontId="0" fillId="8" borderId="0" xfId="0" applyFill="1" applyBorder="1" applyAlignment="1">
      <alignment horizontal="left" wrapText="1"/>
    </xf>
    <xf numFmtId="0" fontId="0" fillId="8" borderId="31" xfId="0" applyFill="1" applyBorder="1" applyAlignment="1">
      <alignment horizontal="left" wrapText="1"/>
    </xf>
    <xf numFmtId="0" fontId="38" fillId="11" borderId="42" xfId="0" applyFont="1" applyFill="1" applyBorder="1" applyAlignment="1">
      <alignment horizontal="center" vertical="top" wrapText="1"/>
    </xf>
    <xf numFmtId="0" fontId="38" fillId="11" borderId="43" xfId="0" applyFont="1" applyFill="1" applyBorder="1" applyAlignment="1">
      <alignment horizontal="center" vertical="top" wrapText="1"/>
    </xf>
    <xf numFmtId="0" fontId="38" fillId="11" borderId="44" xfId="0" applyFont="1" applyFill="1" applyBorder="1" applyAlignment="1">
      <alignment horizontal="center" vertical="top" wrapText="1"/>
    </xf>
    <xf numFmtId="0" fontId="10" fillId="0" borderId="33" xfId="0" applyFont="1" applyFill="1" applyBorder="1" applyAlignment="1">
      <alignment horizontal="center" vertical="top" wrapText="1"/>
    </xf>
    <xf numFmtId="0" fontId="30" fillId="0" borderId="63" xfId="0" applyFont="1" applyBorder="1" applyAlignment="1">
      <alignment horizontal="left" wrapText="1"/>
    </xf>
    <xf numFmtId="0" fontId="30" fillId="0" borderId="64" xfId="0" applyFont="1" applyBorder="1" applyAlignment="1">
      <alignment horizontal="left" wrapText="1"/>
    </xf>
    <xf numFmtId="164" fontId="31" fillId="0" borderId="63" xfId="1" applyFont="1" applyFill="1" applyBorder="1" applyAlignment="1">
      <alignment shrinkToFit="1"/>
    </xf>
    <xf numFmtId="164" fontId="31" fillId="0" borderId="65" xfId="1" applyFont="1" applyFill="1" applyBorder="1" applyAlignment="1">
      <alignment shrinkToFit="1"/>
    </xf>
    <xf numFmtId="164" fontId="1" fillId="13" borderId="42" xfId="1" applyFont="1" applyFill="1" applyBorder="1" applyAlignment="1">
      <alignment horizontal="right" wrapText="1"/>
    </xf>
    <xf numFmtId="164" fontId="1" fillId="13" borderId="43" xfId="1" applyFont="1" applyFill="1" applyBorder="1" applyAlignment="1">
      <alignment horizontal="right" wrapText="1"/>
    </xf>
    <xf numFmtId="164" fontId="1" fillId="13" borderId="44" xfId="1" applyFont="1" applyFill="1" applyBorder="1" applyAlignment="1">
      <alignment horizontal="right" wrapText="1"/>
    </xf>
    <xf numFmtId="0" fontId="1" fillId="11" borderId="42" xfId="0" applyFont="1" applyFill="1" applyBorder="1" applyAlignment="1">
      <alignment horizontal="left" wrapText="1"/>
    </xf>
    <xf numFmtId="0" fontId="1" fillId="11" borderId="43" xfId="0" applyFont="1" applyFill="1" applyBorder="1" applyAlignment="1">
      <alignment horizontal="left" wrapText="1"/>
    </xf>
    <xf numFmtId="0" fontId="1" fillId="11" borderId="67" xfId="0" applyFont="1" applyFill="1" applyBorder="1" applyAlignment="1">
      <alignment horizontal="left" wrapText="1"/>
    </xf>
    <xf numFmtId="164" fontId="31" fillId="11" borderId="68" xfId="1" applyFont="1" applyFill="1" applyBorder="1" applyAlignment="1">
      <alignment shrinkToFit="1"/>
    </xf>
    <xf numFmtId="164" fontId="31" fillId="11" borderId="44" xfId="1" applyFont="1" applyFill="1" applyBorder="1" applyAlignment="1">
      <alignment shrinkToFit="1"/>
    </xf>
    <xf numFmtId="0" fontId="0" fillId="9" borderId="30" xfId="0" applyFill="1" applyBorder="1" applyAlignment="1">
      <alignment horizontal="center" wrapText="1"/>
    </xf>
    <xf numFmtId="0" fontId="0" fillId="9" borderId="0" xfId="0" applyFill="1" applyAlignment="1">
      <alignment horizontal="center" wrapText="1"/>
    </xf>
    <xf numFmtId="0" fontId="0" fillId="0" borderId="27" xfId="0" applyBorder="1" applyAlignment="1">
      <alignment horizontal="left" vertical="top" wrapText="1"/>
    </xf>
    <xf numFmtId="0" fontId="0" fillId="0" borderId="70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0" fillId="0" borderId="5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84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0" fillId="0" borderId="72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8" fillId="11" borderId="42" xfId="0" applyFont="1" applyFill="1" applyBorder="1" applyAlignment="1">
      <alignment horizontal="center" vertical="center" wrapText="1"/>
    </xf>
    <xf numFmtId="0" fontId="38" fillId="11" borderId="43" xfId="0" applyFont="1" applyFill="1" applyBorder="1" applyAlignment="1">
      <alignment horizontal="center" vertical="center" wrapText="1"/>
    </xf>
    <xf numFmtId="0" fontId="38" fillId="11" borderId="44" xfId="0" applyFont="1" applyFill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10" fillId="0" borderId="34" xfId="0" applyFont="1" applyBorder="1" applyAlignment="1">
      <alignment horizontal="center" vertical="top" wrapText="1"/>
    </xf>
    <xf numFmtId="0" fontId="37" fillId="10" borderId="32" xfId="0" applyFont="1" applyFill="1" applyBorder="1" applyAlignment="1">
      <alignment horizontal="center" vertical="center" wrapText="1"/>
    </xf>
    <xf numFmtId="0" fontId="37" fillId="10" borderId="33" xfId="0" applyFont="1" applyFill="1" applyBorder="1" applyAlignment="1">
      <alignment horizontal="center" vertical="center" wrapText="1"/>
    </xf>
    <xf numFmtId="0" fontId="1" fillId="12" borderId="42" xfId="0" applyFont="1" applyFill="1" applyBorder="1" applyAlignment="1">
      <alignment horizontal="center" vertical="center" wrapText="1"/>
    </xf>
    <xf numFmtId="0" fontId="1" fillId="12" borderId="43" xfId="0" applyFont="1" applyFill="1" applyBorder="1" applyAlignment="1">
      <alignment horizontal="center" vertical="center" wrapText="1"/>
    </xf>
    <xf numFmtId="0" fontId="1" fillId="12" borderId="44" xfId="0" applyFont="1" applyFill="1" applyBorder="1" applyAlignment="1">
      <alignment horizontal="center" vertical="center" wrapText="1"/>
    </xf>
    <xf numFmtId="1" fontId="29" fillId="0" borderId="42" xfId="4" applyNumberFormat="1" applyFont="1" applyBorder="1" applyAlignment="1">
      <alignment horizontal="center" vertical="center"/>
    </xf>
    <xf numFmtId="1" fontId="29" fillId="0" borderId="43" xfId="4" applyNumberFormat="1" applyFont="1" applyBorder="1" applyAlignment="1">
      <alignment horizontal="center" vertical="center"/>
    </xf>
    <xf numFmtId="1" fontId="29" fillId="0" borderId="44" xfId="4" applyNumberFormat="1" applyFont="1" applyBorder="1" applyAlignment="1">
      <alignment horizontal="center" vertical="center"/>
    </xf>
    <xf numFmtId="0" fontId="41" fillId="0" borderId="43" xfId="4" applyFont="1" applyBorder="1" applyAlignment="1">
      <alignment horizontal="left" vertical="center"/>
    </xf>
    <xf numFmtId="0" fontId="41" fillId="0" borderId="44" xfId="4" applyFont="1" applyBorder="1" applyAlignment="1">
      <alignment horizontal="left" vertical="center"/>
    </xf>
    <xf numFmtId="0" fontId="6" fillId="7" borderId="76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10" fontId="19" fillId="13" borderId="69" xfId="0" applyNumberFormat="1" applyFont="1" applyFill="1" applyBorder="1" applyAlignment="1">
      <alignment horizontal="center" vertical="center" shrinkToFit="1"/>
    </xf>
    <xf numFmtId="10" fontId="19" fillId="13" borderId="73" xfId="0" applyNumberFormat="1" applyFont="1" applyFill="1" applyBorder="1" applyAlignment="1">
      <alignment horizontal="center" vertical="center" shrinkToFit="1"/>
    </xf>
    <xf numFmtId="10" fontId="19" fillId="13" borderId="66" xfId="0" applyNumberFormat="1" applyFont="1" applyFill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31" xfId="0" applyFont="1" applyBorder="1" applyAlignment="1">
      <alignment horizontal="center" vertical="top" wrapText="1"/>
    </xf>
    <xf numFmtId="0" fontId="21" fillId="0" borderId="30" xfId="0" applyFont="1" applyBorder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0" fontId="21" fillId="0" borderId="31" xfId="0" applyFont="1" applyBorder="1" applyAlignment="1">
      <alignment horizontal="center" vertical="top" wrapText="1"/>
    </xf>
    <xf numFmtId="0" fontId="42" fillId="0" borderId="0" xfId="4" applyFont="1" applyAlignment="1">
      <alignment horizontal="right" vertical="center"/>
    </xf>
    <xf numFmtId="0" fontId="41" fillId="0" borderId="78" xfId="4" applyFont="1" applyBorder="1" applyAlignment="1">
      <alignment horizontal="center" vertical="center"/>
    </xf>
    <xf numFmtId="0" fontId="41" fillId="0" borderId="0" xfId="4" applyFont="1" applyAlignment="1">
      <alignment horizontal="left" vertical="center"/>
    </xf>
    <xf numFmtId="40" fontId="41" fillId="0" borderId="0" xfId="4" applyNumberFormat="1" applyFont="1" applyAlignment="1">
      <alignment horizontal="center" vertical="center"/>
    </xf>
    <xf numFmtId="0" fontId="14" fillId="0" borderId="8" xfId="0" applyFont="1" applyBorder="1" applyAlignment="1">
      <alignment horizontal="left" vertical="top" wrapText="1"/>
    </xf>
    <xf numFmtId="0" fontId="14" fillId="0" borderId="9" xfId="0" applyFont="1" applyBorder="1" applyAlignment="1">
      <alignment horizontal="left" vertical="top" wrapText="1"/>
    </xf>
    <xf numFmtId="2" fontId="15" fillId="0" borderId="24" xfId="0" applyNumberFormat="1" applyFont="1" applyBorder="1" applyAlignment="1">
      <alignment horizontal="center" vertical="top" shrinkToFit="1"/>
    </xf>
    <xf numFmtId="2" fontId="15" fillId="0" borderId="39" xfId="0" applyNumberFormat="1" applyFont="1" applyBorder="1" applyAlignment="1">
      <alignment horizontal="center" vertical="top" shrinkToFit="1"/>
    </xf>
    <xf numFmtId="0" fontId="0" fillId="0" borderId="30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31" xfId="0" applyBorder="1" applyAlignment="1">
      <alignment horizontal="center" wrapText="1"/>
    </xf>
    <xf numFmtId="0" fontId="6" fillId="6" borderId="8" xfId="0" applyFont="1" applyFill="1" applyBorder="1" applyAlignment="1">
      <alignment horizontal="center" vertical="top" wrapText="1"/>
    </xf>
    <xf numFmtId="0" fontId="6" fillId="6" borderId="9" xfId="0" applyFont="1" applyFill="1" applyBorder="1" applyAlignment="1">
      <alignment horizontal="center" vertical="top" wrapText="1"/>
    </xf>
    <xf numFmtId="2" fontId="18" fillId="6" borderId="24" xfId="0" applyNumberFormat="1" applyFont="1" applyFill="1" applyBorder="1" applyAlignment="1">
      <alignment horizontal="center" vertical="top" shrinkToFit="1"/>
    </xf>
    <xf numFmtId="2" fontId="18" fillId="6" borderId="39" xfId="0" applyNumberFormat="1" applyFont="1" applyFill="1" applyBorder="1" applyAlignment="1">
      <alignment horizontal="center" vertical="top" shrinkToFi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32" fillId="0" borderId="59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6" fillId="0" borderId="8" xfId="0" applyFont="1" applyBorder="1" applyAlignment="1">
      <alignment horizontal="left" vertical="center" wrapText="1" indent="3"/>
    </xf>
    <xf numFmtId="0" fontId="6" fillId="0" borderId="9" xfId="0" applyFont="1" applyBorder="1" applyAlignment="1">
      <alignment horizontal="left" vertical="center" wrapText="1" indent="3"/>
    </xf>
    <xf numFmtId="0" fontId="6" fillId="0" borderId="10" xfId="0" applyFont="1" applyBorder="1" applyAlignment="1">
      <alignment horizontal="left" vertical="center" wrapText="1" indent="3"/>
    </xf>
    <xf numFmtId="10" fontId="8" fillId="0" borderId="17" xfId="0" applyNumberFormat="1" applyFont="1" applyBorder="1" applyAlignment="1">
      <alignment horizontal="center" vertical="center" shrinkToFit="1"/>
    </xf>
    <xf numFmtId="10" fontId="8" fillId="0" borderId="15" xfId="0" applyNumberFormat="1" applyFont="1" applyBorder="1" applyAlignment="1">
      <alignment horizontal="center" vertical="center" shrinkToFit="1"/>
    </xf>
    <xf numFmtId="0" fontId="28" fillId="0" borderId="85" xfId="4" applyBorder="1" applyAlignment="1">
      <alignment vertical="center"/>
    </xf>
    <xf numFmtId="0" fontId="28" fillId="0" borderId="26" xfId="4" applyBorder="1" applyAlignment="1">
      <alignment vertical="center"/>
    </xf>
    <xf numFmtId="0" fontId="28" fillId="0" borderId="86" xfId="4" applyBorder="1" applyAlignment="1">
      <alignment vertical="center"/>
    </xf>
    <xf numFmtId="0" fontId="28" fillId="0" borderId="85" xfId="4" applyBorder="1" applyAlignment="1">
      <alignment horizontal="center"/>
    </xf>
    <xf numFmtId="0" fontId="28" fillId="0" borderId="26" xfId="4" applyBorder="1" applyAlignment="1">
      <alignment horizontal="center"/>
    </xf>
    <xf numFmtId="0" fontId="28" fillId="0" borderId="86" xfId="4" applyBorder="1" applyAlignment="1">
      <alignment horizontal="center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top" wrapText="1"/>
    </xf>
    <xf numFmtId="0" fontId="6" fillId="6" borderId="2" xfId="0" applyFont="1" applyFill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6" fillId="11" borderId="76" xfId="0" applyFont="1" applyFill="1" applyBorder="1" applyAlignment="1">
      <alignment horizontal="center" vertical="top" wrapText="1"/>
    </xf>
    <xf numFmtId="0" fontId="6" fillId="11" borderId="9" xfId="0" applyFont="1" applyFill="1" applyBorder="1" applyAlignment="1">
      <alignment horizontal="center" vertical="top" wrapText="1"/>
    </xf>
    <xf numFmtId="0" fontId="6" fillId="11" borderId="82" xfId="0" applyFont="1" applyFill="1" applyBorder="1" applyAlignment="1">
      <alignment horizontal="center" vertical="top" wrapText="1"/>
    </xf>
    <xf numFmtId="0" fontId="0" fillId="0" borderId="45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14" fillId="0" borderId="76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left" vertical="top" wrapText="1" indent="5"/>
    </xf>
    <xf numFmtId="0" fontId="14" fillId="0" borderId="9" xfId="0" applyFont="1" applyBorder="1" applyAlignment="1">
      <alignment horizontal="left" vertical="top" wrapText="1" indent="5"/>
    </xf>
    <xf numFmtId="0" fontId="14" fillId="0" borderId="82" xfId="0" applyFont="1" applyBorder="1" applyAlignment="1">
      <alignment horizontal="left" vertical="top" wrapText="1" indent="5"/>
    </xf>
    <xf numFmtId="0" fontId="37" fillId="10" borderId="77" xfId="0" applyFont="1" applyFill="1" applyBorder="1" applyAlignment="1">
      <alignment horizontal="center" vertical="center" wrapText="1"/>
    </xf>
    <xf numFmtId="0" fontId="37" fillId="10" borderId="71" xfId="0" applyFont="1" applyFill="1" applyBorder="1" applyAlignment="1">
      <alignment horizontal="center" vertical="center" wrapText="1"/>
    </xf>
    <xf numFmtId="0" fontId="37" fillId="10" borderId="81" xfId="0" applyFont="1" applyFill="1" applyBorder="1" applyAlignment="1">
      <alignment horizontal="center" vertical="center" wrapText="1"/>
    </xf>
    <xf numFmtId="0" fontId="0" fillId="0" borderId="83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80" xfId="0" applyBorder="1" applyAlignment="1">
      <alignment horizontal="left" wrapText="1"/>
    </xf>
    <xf numFmtId="0" fontId="6" fillId="4" borderId="76" xfId="0" applyFont="1" applyFill="1" applyBorder="1" applyAlignment="1">
      <alignment horizontal="center" vertical="top" wrapText="1"/>
    </xf>
    <xf numFmtId="0" fontId="6" fillId="4" borderId="9" xfId="0" applyFont="1" applyFill="1" applyBorder="1" applyAlignment="1">
      <alignment horizontal="center" vertical="top" wrapText="1"/>
    </xf>
    <xf numFmtId="0" fontId="6" fillId="4" borderId="82" xfId="0" applyFont="1" applyFill="1" applyBorder="1" applyAlignment="1">
      <alignment horizontal="center" vertical="top" wrapText="1"/>
    </xf>
    <xf numFmtId="0" fontId="14" fillId="0" borderId="76" xfId="0" applyFont="1" applyBorder="1" applyAlignment="1">
      <alignment horizontal="left" vertical="top" wrapText="1" indent="8"/>
    </xf>
    <xf numFmtId="0" fontId="14" fillId="0" borderId="10" xfId="0" applyFont="1" applyBorder="1" applyAlignment="1">
      <alignment horizontal="left" vertical="top" wrapText="1" indent="8"/>
    </xf>
    <xf numFmtId="0" fontId="6" fillId="0" borderId="76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82" xfId="0" applyFont="1" applyBorder="1" applyAlignment="1">
      <alignment horizontal="center" vertical="top" wrapText="1"/>
    </xf>
    <xf numFmtId="0" fontId="0" fillId="9" borderId="27" xfId="0" applyFill="1" applyBorder="1" applyAlignment="1">
      <alignment horizontal="left" wrapText="1"/>
    </xf>
    <xf numFmtId="0" fontId="0" fillId="9" borderId="28" xfId="0" applyFill="1" applyBorder="1" applyAlignment="1">
      <alignment horizontal="left" wrapText="1"/>
    </xf>
    <xf numFmtId="0" fontId="0" fillId="9" borderId="29" xfId="0" applyFill="1" applyBorder="1" applyAlignment="1">
      <alignment horizontal="left" wrapText="1"/>
    </xf>
    <xf numFmtId="0" fontId="0" fillId="0" borderId="79" xfId="0" applyBorder="1" applyAlignment="1">
      <alignment horizontal="left" vertical="top" wrapText="1"/>
    </xf>
    <xf numFmtId="0" fontId="0" fillId="0" borderId="49" xfId="0" applyBorder="1" applyAlignment="1">
      <alignment horizontal="left" vertical="top" wrapText="1"/>
    </xf>
    <xf numFmtId="0" fontId="45" fillId="0" borderId="6" xfId="0" applyFont="1" applyBorder="1" applyAlignment="1">
      <alignment horizontal="center" vertical="top" wrapText="1"/>
    </xf>
    <xf numFmtId="0" fontId="45" fillId="0" borderId="3" xfId="0" applyFont="1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0" borderId="80" xfId="0" applyBorder="1" applyAlignment="1">
      <alignment horizontal="left" vertical="top" wrapText="1"/>
    </xf>
    <xf numFmtId="0" fontId="32" fillId="0" borderId="16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27" fillId="0" borderId="83" xfId="0" applyFont="1" applyBorder="1" applyAlignment="1">
      <alignment horizontal="left" wrapText="1"/>
    </xf>
    <xf numFmtId="0" fontId="27" fillId="0" borderId="2" xfId="0" applyFont="1" applyBorder="1" applyAlignment="1">
      <alignment horizontal="left" wrapText="1"/>
    </xf>
    <xf numFmtId="0" fontId="27" fillId="0" borderId="80" xfId="0" applyFont="1" applyBorder="1" applyAlignment="1">
      <alignment horizontal="left" wrapText="1"/>
    </xf>
    <xf numFmtId="0" fontId="6" fillId="4" borderId="76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82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top" wrapText="1"/>
    </xf>
    <xf numFmtId="0" fontId="14" fillId="0" borderId="82" xfId="0" applyFont="1" applyBorder="1" applyAlignment="1">
      <alignment horizontal="center" vertical="top" wrapText="1"/>
    </xf>
    <xf numFmtId="0" fontId="33" fillId="0" borderId="27" xfId="0" applyFont="1" applyBorder="1" applyAlignment="1">
      <alignment horizontal="center" vertical="top"/>
    </xf>
    <xf numFmtId="0" fontId="33" fillId="0" borderId="28" xfId="0" applyFont="1" applyBorder="1" applyAlignment="1">
      <alignment horizontal="center" vertical="top"/>
    </xf>
    <xf numFmtId="0" fontId="33" fillId="0" borderId="29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29" fillId="4" borderId="9" xfId="0" applyFont="1" applyFill="1" applyBorder="1" applyAlignment="1">
      <alignment horizontal="center" vertical="top" wrapText="1"/>
    </xf>
    <xf numFmtId="0" fontId="9" fillId="6" borderId="8" xfId="0" applyFont="1" applyFill="1" applyBorder="1" applyAlignment="1">
      <alignment horizontal="center" vertical="top" wrapText="1"/>
    </xf>
    <xf numFmtId="0" fontId="9" fillId="6" borderId="9" xfId="0" applyFont="1" applyFill="1" applyBorder="1" applyAlignment="1">
      <alignment horizontal="center" vertical="top" wrapText="1"/>
    </xf>
    <xf numFmtId="0" fontId="9" fillId="6" borderId="10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left" vertical="center" wrapText="1"/>
    </xf>
    <xf numFmtId="0" fontId="48" fillId="11" borderId="16" xfId="0" applyFont="1" applyFill="1" applyBorder="1" applyAlignment="1">
      <alignment horizontal="left" vertical="top" wrapText="1" indent="1"/>
    </xf>
    <xf numFmtId="0" fontId="48" fillId="11" borderId="11" xfId="0" applyFont="1" applyFill="1" applyBorder="1" applyAlignment="1">
      <alignment horizontal="left" vertical="top" wrapText="1" indent="1"/>
    </xf>
    <xf numFmtId="0" fontId="48" fillId="11" borderId="8" xfId="0" applyFont="1" applyFill="1" applyBorder="1" applyAlignment="1">
      <alignment horizontal="left" vertical="top" wrapText="1"/>
    </xf>
    <xf numFmtId="0" fontId="48" fillId="11" borderId="9" xfId="0" applyFont="1" applyFill="1" applyBorder="1" applyAlignment="1">
      <alignment horizontal="left" vertical="top" wrapText="1"/>
    </xf>
    <xf numFmtId="0" fontId="48" fillId="11" borderId="10" xfId="0" applyFont="1" applyFill="1" applyBorder="1" applyAlignment="1">
      <alignment horizontal="left" vertical="top" wrapText="1"/>
    </xf>
    <xf numFmtId="0" fontId="49" fillId="0" borderId="8" xfId="0" applyFont="1" applyBorder="1" applyAlignment="1">
      <alignment horizontal="left" wrapText="1"/>
    </xf>
    <xf numFmtId="0" fontId="49" fillId="0" borderId="9" xfId="0" applyFont="1" applyBorder="1" applyAlignment="1">
      <alignment horizontal="left" wrapText="1"/>
    </xf>
    <xf numFmtId="0" fontId="49" fillId="0" borderId="10" xfId="0" applyFont="1" applyBorder="1" applyAlignment="1">
      <alignment horizontal="left" wrapText="1"/>
    </xf>
    <xf numFmtId="0" fontId="46" fillId="0" borderId="8" xfId="0" applyFont="1" applyBorder="1" applyAlignment="1">
      <alignment horizontal="left" wrapText="1"/>
    </xf>
    <xf numFmtId="0" fontId="46" fillId="0" borderId="9" xfId="0" applyFont="1" applyBorder="1" applyAlignment="1">
      <alignment horizontal="left" wrapText="1"/>
    </xf>
    <xf numFmtId="0" fontId="46" fillId="0" borderId="10" xfId="0" applyFont="1" applyBorder="1" applyAlignment="1">
      <alignment horizontal="left" wrapText="1"/>
    </xf>
  </cellXfs>
  <cellStyles count="5">
    <cellStyle name="Moeda" xfId="1" builtinId="4"/>
    <cellStyle name="Normal" xfId="0" builtinId="0"/>
    <cellStyle name="Normal 2" xfId="3"/>
    <cellStyle name="Normal 2 2" xfId="4"/>
    <cellStyle name="Porcentagem" xfId="2" builtinId="5"/>
  </cellStyles>
  <dxfs count="0"/>
  <tableStyles count="0" defaultTableStyle="TableStyleMedium9" defaultPivotStyle="PivotStyleLight16"/>
  <colors>
    <mruColors>
      <color rgb="FF1C54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image" Target="../media/image7.jpeg"/><Relationship Id="rId1" Type="http://schemas.openxmlformats.org/officeDocument/2006/relationships/image" Target="../media/image6.jpeg"/><Relationship Id="rId4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3.jpg"/><Relationship Id="rId1" Type="http://schemas.openxmlformats.org/officeDocument/2006/relationships/image" Target="../media/image6.jpeg"/><Relationship Id="rId4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eg"/><Relationship Id="rId2" Type="http://schemas.openxmlformats.org/officeDocument/2006/relationships/image" Target="../media/image11.jpeg"/><Relationship Id="rId1" Type="http://schemas.openxmlformats.org/officeDocument/2006/relationships/image" Target="../media/image6.jpeg"/><Relationship Id="rId4" Type="http://schemas.openxmlformats.org/officeDocument/2006/relationships/image" Target="../media/image3.jp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jpeg"/><Relationship Id="rId2" Type="http://schemas.openxmlformats.org/officeDocument/2006/relationships/image" Target="../media/image13.jpeg"/><Relationship Id="rId1" Type="http://schemas.openxmlformats.org/officeDocument/2006/relationships/image" Target="../media/image6.jpeg"/><Relationship Id="rId4" Type="http://schemas.openxmlformats.org/officeDocument/2006/relationships/image" Target="../media/image3.jp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eg"/><Relationship Id="rId2" Type="http://schemas.openxmlformats.org/officeDocument/2006/relationships/image" Target="../media/image11.jpeg"/><Relationship Id="rId1" Type="http://schemas.openxmlformats.org/officeDocument/2006/relationships/image" Target="../media/image6.jpeg"/><Relationship Id="rId4" Type="http://schemas.openxmlformats.org/officeDocument/2006/relationships/image" Target="../media/image3.jp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16.jpeg"/><Relationship Id="rId1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216001</xdr:colOff>
      <xdr:row>1</xdr:row>
      <xdr:rowOff>75442</xdr:rowOff>
    </xdr:from>
    <xdr:to>
      <xdr:col>1</xdr:col>
      <xdr:colOff>367300</xdr:colOff>
      <xdr:row>3</xdr:row>
      <xdr:rowOff>120840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6781E958-79E3-45BF-BFD4-0FC3A6F8D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001" y="200252"/>
          <a:ext cx="571713" cy="551208"/>
        </a:xfrm>
        <a:prstGeom prst="rect">
          <a:avLst/>
        </a:prstGeom>
      </xdr:spPr>
    </xdr:pic>
    <xdr:clientData/>
  </xdr:twoCellAnchor>
  <xdr:twoCellAnchor editAs="oneCell">
    <xdr:from>
      <xdr:col>6</xdr:col>
      <xdr:colOff>445616</xdr:colOff>
      <xdr:row>1</xdr:row>
      <xdr:rowOff>99190</xdr:rowOff>
    </xdr:from>
    <xdr:to>
      <xdr:col>7</xdr:col>
      <xdr:colOff>270969</xdr:colOff>
      <xdr:row>3</xdr:row>
      <xdr:rowOff>48279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F72DB906-4040-4323-98C6-6077BB541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8944" y="224000"/>
          <a:ext cx="482249" cy="454899"/>
        </a:xfrm>
        <a:prstGeom prst="rect">
          <a:avLst/>
        </a:prstGeom>
      </xdr:spPr>
    </xdr:pic>
    <xdr:clientData/>
  </xdr:twoCellAnchor>
  <xdr:twoCellAnchor editAs="oneCell">
    <xdr:from>
      <xdr:col>3</xdr:col>
      <xdr:colOff>210207</xdr:colOff>
      <xdr:row>23</xdr:row>
      <xdr:rowOff>124810</xdr:rowOff>
    </xdr:from>
    <xdr:to>
      <xdr:col>7</xdr:col>
      <xdr:colOff>637190</xdr:colOff>
      <xdr:row>27</xdr:row>
      <xdr:rowOff>1147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9B037507-D920-4BD9-A72E-0138C1D760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50" r="19742"/>
        <a:stretch/>
      </xdr:blipFill>
      <xdr:spPr>
        <a:xfrm>
          <a:off x="4591707" y="3632638"/>
          <a:ext cx="2305707" cy="5332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197069</xdr:colOff>
      <xdr:row>1</xdr:row>
      <xdr:rowOff>38720</xdr:rowOff>
    </xdr:from>
    <xdr:to>
      <xdr:col>1</xdr:col>
      <xdr:colOff>349892</xdr:colOff>
      <xdr:row>3</xdr:row>
      <xdr:rowOff>144488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CFAD82CC-79D9-45EE-AA53-10A61845A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069" y="143823"/>
          <a:ext cx="540392" cy="532751"/>
        </a:xfrm>
        <a:prstGeom prst="rect">
          <a:avLst/>
        </a:prstGeom>
      </xdr:spPr>
    </xdr:pic>
    <xdr:clientData/>
  </xdr:twoCellAnchor>
  <xdr:twoCellAnchor editAs="oneCell">
    <xdr:from>
      <xdr:col>6</xdr:col>
      <xdr:colOff>439047</xdr:colOff>
      <xdr:row>1</xdr:row>
      <xdr:rowOff>72258</xdr:rowOff>
    </xdr:from>
    <xdr:to>
      <xdr:col>7</xdr:col>
      <xdr:colOff>426325</xdr:colOff>
      <xdr:row>3</xdr:row>
      <xdr:rowOff>108386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D293EEC9-6D53-4159-AF55-66B4571B9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1702" y="177361"/>
          <a:ext cx="479951" cy="463111"/>
        </a:xfrm>
        <a:prstGeom prst="rect">
          <a:avLst/>
        </a:prstGeom>
      </xdr:spPr>
    </xdr:pic>
    <xdr:clientData/>
  </xdr:twoCellAnchor>
  <xdr:twoCellAnchor editAs="oneCell">
    <xdr:from>
      <xdr:col>0</xdr:col>
      <xdr:colOff>124809</xdr:colOff>
      <xdr:row>58</xdr:row>
      <xdr:rowOff>142101</xdr:rowOff>
    </xdr:from>
    <xdr:to>
      <xdr:col>2</xdr:col>
      <xdr:colOff>1021473</xdr:colOff>
      <xdr:row>61</xdr:row>
      <xdr:rowOff>93362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xmlns="" id="{14DF1769-7D90-49D3-B707-261B5D9E0C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50" r="19742"/>
        <a:stretch/>
      </xdr:blipFill>
      <xdr:spPr>
        <a:xfrm>
          <a:off x="124809" y="10159773"/>
          <a:ext cx="1934561" cy="4570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468497</xdr:colOff>
      <xdr:row>20</xdr:row>
      <xdr:rowOff>44973</xdr:rowOff>
    </xdr:from>
    <xdr:to>
      <xdr:col>17</xdr:col>
      <xdr:colOff>512444</xdr:colOff>
      <xdr:row>23</xdr:row>
      <xdr:rowOff>8141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EB00DDAB-D867-4519-93BD-C754DB8567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62" r="19579"/>
        <a:stretch/>
      </xdr:blipFill>
      <xdr:spPr>
        <a:xfrm rot="5400000">
          <a:off x="11822930" y="3292779"/>
          <a:ext cx="460125" cy="1104121"/>
        </a:xfrm>
        <a:prstGeom prst="rect">
          <a:avLst/>
        </a:prstGeom>
      </xdr:spPr>
    </xdr:pic>
    <xdr:clientData/>
  </xdr:twoCellAnchor>
  <xdr:twoCellAnchor editAs="oneCell">
    <xdr:from>
      <xdr:col>0</xdr:col>
      <xdr:colOff>219650</xdr:colOff>
      <xdr:row>1</xdr:row>
      <xdr:rowOff>67480</xdr:rowOff>
    </xdr:from>
    <xdr:to>
      <xdr:col>1</xdr:col>
      <xdr:colOff>322590</xdr:colOff>
      <xdr:row>3</xdr:row>
      <xdr:rowOff>49696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CF4F7B74-2DC2-408F-A201-67915E465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650" y="241415"/>
          <a:ext cx="492223" cy="470890"/>
        </a:xfrm>
        <a:prstGeom prst="rect">
          <a:avLst/>
        </a:prstGeom>
      </xdr:spPr>
    </xdr:pic>
    <xdr:clientData/>
  </xdr:twoCellAnchor>
  <xdr:twoCellAnchor editAs="oneCell">
    <xdr:from>
      <xdr:col>10</xdr:col>
      <xdr:colOff>445616</xdr:colOff>
      <xdr:row>1</xdr:row>
      <xdr:rowOff>105105</xdr:rowOff>
    </xdr:from>
    <xdr:to>
      <xdr:col>11</xdr:col>
      <xdr:colOff>394794</xdr:colOff>
      <xdr:row>3</xdr:row>
      <xdr:rowOff>74543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3EC4A477-A960-43D4-AF0A-3AAA45390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7725" y="279040"/>
          <a:ext cx="479265" cy="458112"/>
        </a:xfrm>
        <a:prstGeom prst="rect">
          <a:avLst/>
        </a:prstGeom>
      </xdr:spPr>
    </xdr:pic>
    <xdr:clientData/>
  </xdr:twoCellAnchor>
  <xdr:twoCellAnchor editAs="oneCell">
    <xdr:from>
      <xdr:col>8</xdr:col>
      <xdr:colOff>167603</xdr:colOff>
      <xdr:row>24</xdr:row>
      <xdr:rowOff>161011</xdr:rowOff>
    </xdr:from>
    <xdr:to>
      <xdr:col>11</xdr:col>
      <xdr:colOff>577506</xdr:colOff>
      <xdr:row>28</xdr:row>
      <xdr:rowOff>84412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733424F8-C292-4FD4-A991-56C229A8B3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50" r="19742"/>
        <a:stretch/>
      </xdr:blipFill>
      <xdr:spPr>
        <a:xfrm>
          <a:off x="6901778" y="4713961"/>
          <a:ext cx="2305378" cy="5711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161093</xdr:colOff>
      <xdr:row>40</xdr:row>
      <xdr:rowOff>69945</xdr:rowOff>
    </xdr:from>
    <xdr:to>
      <xdr:col>15</xdr:col>
      <xdr:colOff>164780</xdr:colOff>
      <xdr:row>43</xdr:row>
      <xdr:rowOff>17576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xmlns="" id="{E6D8F7B4-86A1-454F-A19A-394488C67A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62" r="19579"/>
        <a:stretch/>
      </xdr:blipFill>
      <xdr:spPr>
        <a:xfrm rot="5400000">
          <a:off x="9755534" y="6941331"/>
          <a:ext cx="444587" cy="1113556"/>
        </a:xfrm>
        <a:prstGeom prst="rect">
          <a:avLst/>
        </a:prstGeom>
      </xdr:spPr>
    </xdr:pic>
    <xdr:clientData/>
  </xdr:twoCellAnchor>
  <xdr:twoCellAnchor editAs="oneCell">
    <xdr:from>
      <xdr:col>3</xdr:col>
      <xdr:colOff>99753</xdr:colOff>
      <xdr:row>40</xdr:row>
      <xdr:rowOff>137882</xdr:rowOff>
    </xdr:from>
    <xdr:to>
      <xdr:col>7</xdr:col>
      <xdr:colOff>299198</xdr:colOff>
      <xdr:row>44</xdr:row>
      <xdr:rowOff>13044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xmlns="" id="{2B556ED1-3BFD-4FF7-9B03-A014EA04E4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50" r="19742"/>
        <a:stretch/>
      </xdr:blipFill>
      <xdr:spPr>
        <a:xfrm>
          <a:off x="4100253" y="7343752"/>
          <a:ext cx="2303228" cy="537770"/>
        </a:xfrm>
        <a:prstGeom prst="rect">
          <a:avLst/>
        </a:prstGeom>
      </xdr:spPr>
    </xdr:pic>
    <xdr:clientData/>
  </xdr:twoCellAnchor>
  <xdr:twoCellAnchor editAs="oneCell">
    <xdr:from>
      <xdr:col>0</xdr:col>
      <xdr:colOff>170636</xdr:colOff>
      <xdr:row>1</xdr:row>
      <xdr:rowOff>95249</xdr:rowOff>
    </xdr:from>
    <xdr:to>
      <xdr:col>1</xdr:col>
      <xdr:colOff>255253</xdr:colOff>
      <xdr:row>3</xdr:row>
      <xdr:rowOff>80596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xmlns="" id="{687C1D1C-5030-4B05-ABF8-EF001A551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636" y="190499"/>
          <a:ext cx="553540" cy="527539"/>
        </a:xfrm>
        <a:prstGeom prst="rect">
          <a:avLst/>
        </a:prstGeom>
      </xdr:spPr>
    </xdr:pic>
    <xdr:clientData/>
  </xdr:twoCellAnchor>
  <xdr:twoCellAnchor editAs="oneCell">
    <xdr:from>
      <xdr:col>6</xdr:col>
      <xdr:colOff>297561</xdr:colOff>
      <xdr:row>1</xdr:row>
      <xdr:rowOff>114704</xdr:rowOff>
    </xdr:from>
    <xdr:to>
      <xdr:col>7</xdr:col>
      <xdr:colOff>255052</xdr:colOff>
      <xdr:row>3</xdr:row>
      <xdr:rowOff>58615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xmlns="" id="{BC813846-B729-43CE-A440-DA230C937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0676" y="209954"/>
          <a:ext cx="485030" cy="486103"/>
        </a:xfrm>
        <a:prstGeom prst="rect">
          <a:avLst/>
        </a:prstGeom>
      </xdr:spPr>
    </xdr:pic>
    <xdr:clientData/>
  </xdr:twoCellAnchor>
  <xdr:twoCellAnchor>
    <xdr:from>
      <xdr:col>1</xdr:col>
      <xdr:colOff>116315</xdr:colOff>
      <xdr:row>30</xdr:row>
      <xdr:rowOff>118783</xdr:rowOff>
    </xdr:from>
    <xdr:to>
      <xdr:col>6</xdr:col>
      <xdr:colOff>786090</xdr:colOff>
      <xdr:row>33</xdr:row>
      <xdr:rowOff>52879</xdr:rowOff>
    </xdr:to>
    <xdr:sp macro="" textlink="">
      <xdr:nvSpPr>
        <xdr:cNvPr id="12" name="Retângulo de cantos arredondados 1">
          <a:extLst>
            <a:ext uri="{FF2B5EF4-FFF2-40B4-BE49-F238E27FC236}">
              <a16:creationId xmlns:a16="http://schemas.microsoft.com/office/drawing/2014/main" xmlns="" id="{8A5AC2D4-0AF2-4BAF-BEF5-5C75605BC311}"/>
            </a:ext>
          </a:extLst>
        </xdr:cNvPr>
        <xdr:cNvSpPr/>
      </xdr:nvSpPr>
      <xdr:spPr>
        <a:xfrm>
          <a:off x="583040" y="4138333"/>
          <a:ext cx="5460850" cy="286521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531679</xdr:colOff>
      <xdr:row>20</xdr:row>
      <xdr:rowOff>105518</xdr:rowOff>
    </xdr:from>
    <xdr:to>
      <xdr:col>13</xdr:col>
      <xdr:colOff>45603</xdr:colOff>
      <xdr:row>23</xdr:row>
      <xdr:rowOff>143958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36AA5E4D-A895-4EE2-A327-BB4731718F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62" r="19579"/>
        <a:stretch/>
      </xdr:blipFill>
      <xdr:spPr>
        <a:xfrm rot="5400000">
          <a:off x="9505386" y="2693191"/>
          <a:ext cx="426009" cy="1110182"/>
        </a:xfrm>
        <a:prstGeom prst="rect">
          <a:avLst/>
        </a:prstGeom>
      </xdr:spPr>
    </xdr:pic>
    <xdr:clientData/>
  </xdr:twoCellAnchor>
  <xdr:twoCellAnchor editAs="oneCell">
    <xdr:from>
      <xdr:col>0</xdr:col>
      <xdr:colOff>131380</xdr:colOff>
      <xdr:row>1</xdr:row>
      <xdr:rowOff>45982</xdr:rowOff>
    </xdr:from>
    <xdr:to>
      <xdr:col>0</xdr:col>
      <xdr:colOff>642937</xdr:colOff>
      <xdr:row>2</xdr:row>
      <xdr:rowOff>190500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EF05C96-FFF9-4635-8771-3D0DEE821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380" y="112657"/>
          <a:ext cx="511557" cy="477893"/>
        </a:xfrm>
        <a:prstGeom prst="rect">
          <a:avLst/>
        </a:prstGeom>
      </xdr:spPr>
    </xdr:pic>
    <xdr:clientData/>
  </xdr:twoCellAnchor>
  <xdr:twoCellAnchor editAs="oneCell">
    <xdr:from>
      <xdr:col>4</xdr:col>
      <xdr:colOff>428626</xdr:colOff>
      <xdr:row>1</xdr:row>
      <xdr:rowOff>95250</xdr:rowOff>
    </xdr:from>
    <xdr:to>
      <xdr:col>5</xdr:col>
      <xdr:colOff>273146</xdr:colOff>
      <xdr:row>2</xdr:row>
      <xdr:rowOff>190500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B5E84DA1-4E04-47F2-9BDB-11A431229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4526" y="161925"/>
          <a:ext cx="422918" cy="428625"/>
        </a:xfrm>
        <a:prstGeom prst="rect">
          <a:avLst/>
        </a:prstGeom>
      </xdr:spPr>
    </xdr:pic>
    <xdr:clientData/>
  </xdr:twoCellAnchor>
  <xdr:twoCellAnchor editAs="oneCell">
    <xdr:from>
      <xdr:col>2</xdr:col>
      <xdr:colOff>94019</xdr:colOff>
      <xdr:row>24</xdr:row>
      <xdr:rowOff>21761</xdr:rowOff>
    </xdr:from>
    <xdr:to>
      <xdr:col>5</xdr:col>
      <xdr:colOff>493330</xdr:colOff>
      <xdr:row>27</xdr:row>
      <xdr:rowOff>72792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xmlns="" id="{15AA03A2-012E-462C-BFD1-79B8C58D5A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50" r="19742"/>
        <a:stretch/>
      </xdr:blipFill>
      <xdr:spPr>
        <a:xfrm>
          <a:off x="4056419" y="3507911"/>
          <a:ext cx="2308581" cy="53680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120357</xdr:colOff>
      <xdr:row>23</xdr:row>
      <xdr:rowOff>3951</xdr:rowOff>
    </xdr:from>
    <xdr:to>
      <xdr:col>12</xdr:col>
      <xdr:colOff>166368</xdr:colOff>
      <xdr:row>25</xdr:row>
      <xdr:rowOff>145023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42B33B45-47B4-44D3-8F86-0E5032DEB6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62" r="19579"/>
        <a:stretch/>
      </xdr:blipFill>
      <xdr:spPr>
        <a:xfrm rot="5400000">
          <a:off x="9158211" y="3920097"/>
          <a:ext cx="463457" cy="1115741"/>
        </a:xfrm>
        <a:prstGeom prst="rect">
          <a:avLst/>
        </a:prstGeom>
      </xdr:spPr>
    </xdr:pic>
    <xdr:clientData/>
  </xdr:twoCellAnchor>
  <xdr:twoCellAnchor editAs="oneCell">
    <xdr:from>
      <xdr:col>0</xdr:col>
      <xdr:colOff>168016</xdr:colOff>
      <xdr:row>1</xdr:row>
      <xdr:rowOff>45983</xdr:rowOff>
    </xdr:from>
    <xdr:to>
      <xdr:col>0</xdr:col>
      <xdr:colOff>644770</xdr:colOff>
      <xdr:row>2</xdr:row>
      <xdr:rowOff>124558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2682386C-2761-423F-84CC-86356B891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016" y="111925"/>
          <a:ext cx="476754" cy="415614"/>
        </a:xfrm>
        <a:prstGeom prst="rect">
          <a:avLst/>
        </a:prstGeom>
      </xdr:spPr>
    </xdr:pic>
    <xdr:clientData/>
  </xdr:twoCellAnchor>
  <xdr:twoCellAnchor editAs="oneCell">
    <xdr:from>
      <xdr:col>4</xdr:col>
      <xdr:colOff>441764</xdr:colOff>
      <xdr:row>1</xdr:row>
      <xdr:rowOff>51289</xdr:rowOff>
    </xdr:from>
    <xdr:to>
      <xdr:col>5</xdr:col>
      <xdr:colOff>283657</xdr:colOff>
      <xdr:row>2</xdr:row>
      <xdr:rowOff>124557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9B5BF4E5-238C-4920-9A16-9DBE0E256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9129" y="117231"/>
          <a:ext cx="420720" cy="410307"/>
        </a:xfrm>
        <a:prstGeom prst="rect">
          <a:avLst/>
        </a:prstGeom>
      </xdr:spPr>
    </xdr:pic>
    <xdr:clientData/>
  </xdr:twoCellAnchor>
  <xdr:twoCellAnchor editAs="oneCell">
    <xdr:from>
      <xdr:col>2</xdr:col>
      <xdr:colOff>120294</xdr:colOff>
      <xdr:row>28</xdr:row>
      <xdr:rowOff>8623</xdr:rowOff>
    </xdr:from>
    <xdr:to>
      <xdr:col>5</xdr:col>
      <xdr:colOff>514350</xdr:colOff>
      <xdr:row>31</xdr:row>
      <xdr:rowOff>59652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61B000B5-50FB-4517-B32A-05AE632CBD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50" r="19742"/>
        <a:stretch/>
      </xdr:blipFill>
      <xdr:spPr>
        <a:xfrm>
          <a:off x="4082694" y="4894948"/>
          <a:ext cx="2308581" cy="5368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485696</xdr:colOff>
      <xdr:row>20</xdr:row>
      <xdr:rowOff>52967</xdr:rowOff>
    </xdr:from>
    <xdr:to>
      <xdr:col>10</xdr:col>
      <xdr:colOff>531705</xdr:colOff>
      <xdr:row>22</xdr:row>
      <xdr:rowOff>155454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A95AAB8C-9BD2-440A-8B1C-1122EBECB6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62" r="19579"/>
        <a:stretch/>
      </xdr:blipFill>
      <xdr:spPr>
        <a:xfrm rot="5400000">
          <a:off x="8419043" y="3024102"/>
          <a:ext cx="378384" cy="1110182"/>
        </a:xfrm>
        <a:prstGeom prst="rect">
          <a:avLst/>
        </a:prstGeom>
      </xdr:spPr>
    </xdr:pic>
    <xdr:clientData/>
  </xdr:twoCellAnchor>
  <xdr:twoCellAnchor editAs="oneCell">
    <xdr:from>
      <xdr:col>0</xdr:col>
      <xdr:colOff>131380</xdr:colOff>
      <xdr:row>1</xdr:row>
      <xdr:rowOff>45983</xdr:rowOff>
    </xdr:from>
    <xdr:to>
      <xdr:col>0</xdr:col>
      <xdr:colOff>642937</xdr:colOff>
      <xdr:row>2</xdr:row>
      <xdr:rowOff>197828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AC032AD0-CD5E-49E1-8504-A7BC4BEA1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380" y="111925"/>
          <a:ext cx="511557" cy="488884"/>
        </a:xfrm>
        <a:prstGeom prst="rect">
          <a:avLst/>
        </a:prstGeom>
      </xdr:spPr>
    </xdr:pic>
    <xdr:clientData/>
  </xdr:twoCellAnchor>
  <xdr:twoCellAnchor editAs="oneCell">
    <xdr:from>
      <xdr:col>4</xdr:col>
      <xdr:colOff>428626</xdr:colOff>
      <xdr:row>1</xdr:row>
      <xdr:rowOff>95250</xdr:rowOff>
    </xdr:from>
    <xdr:to>
      <xdr:col>5</xdr:col>
      <xdr:colOff>273146</xdr:colOff>
      <xdr:row>2</xdr:row>
      <xdr:rowOff>227134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6BCC2A7D-EB97-4FD9-A610-6818CAFCA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5991" y="161192"/>
          <a:ext cx="423347" cy="468923"/>
        </a:xfrm>
        <a:prstGeom prst="rect">
          <a:avLst/>
        </a:prstGeom>
      </xdr:spPr>
    </xdr:pic>
    <xdr:clientData/>
  </xdr:twoCellAnchor>
  <xdr:twoCellAnchor editAs="oneCell">
    <xdr:from>
      <xdr:col>2</xdr:col>
      <xdr:colOff>94019</xdr:colOff>
      <xdr:row>23</xdr:row>
      <xdr:rowOff>21761</xdr:rowOff>
    </xdr:from>
    <xdr:to>
      <xdr:col>5</xdr:col>
      <xdr:colOff>493330</xdr:colOff>
      <xdr:row>26</xdr:row>
      <xdr:rowOff>72791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3E548FB0-954E-41FC-9276-0D976850F7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50" r="19742"/>
        <a:stretch/>
      </xdr:blipFill>
      <xdr:spPr>
        <a:xfrm>
          <a:off x="4056419" y="3498386"/>
          <a:ext cx="2313836" cy="53680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162582</xdr:colOff>
      <xdr:row>1</xdr:row>
      <xdr:rowOff>57807</xdr:rowOff>
    </xdr:from>
    <xdr:to>
      <xdr:col>0</xdr:col>
      <xdr:colOff>593481</xdr:colOff>
      <xdr:row>2</xdr:row>
      <xdr:rowOff>102577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D62EB43A-6AC5-4C64-B718-5B1A879FC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582" y="123749"/>
          <a:ext cx="430899" cy="367155"/>
        </a:xfrm>
        <a:prstGeom prst="rect">
          <a:avLst/>
        </a:prstGeom>
      </xdr:spPr>
    </xdr:pic>
    <xdr:clientData/>
  </xdr:twoCellAnchor>
  <xdr:twoCellAnchor editAs="oneCell">
    <xdr:from>
      <xdr:col>4</xdr:col>
      <xdr:colOff>421299</xdr:colOff>
      <xdr:row>1</xdr:row>
      <xdr:rowOff>43962</xdr:rowOff>
    </xdr:from>
    <xdr:to>
      <xdr:col>5</xdr:col>
      <xdr:colOff>234617</xdr:colOff>
      <xdr:row>2</xdr:row>
      <xdr:rowOff>124559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8B67746C-EE18-4E97-BEF0-80D3454B7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4414" y="109904"/>
          <a:ext cx="421453" cy="402982"/>
        </a:xfrm>
        <a:prstGeom prst="rect">
          <a:avLst/>
        </a:prstGeom>
      </xdr:spPr>
    </xdr:pic>
    <xdr:clientData/>
  </xdr:twoCellAnchor>
  <xdr:twoCellAnchor editAs="oneCell">
    <xdr:from>
      <xdr:col>2</xdr:col>
      <xdr:colOff>278423</xdr:colOff>
      <xdr:row>34</xdr:row>
      <xdr:rowOff>219806</xdr:rowOff>
    </xdr:from>
    <xdr:to>
      <xdr:col>5</xdr:col>
      <xdr:colOff>464495</xdr:colOff>
      <xdr:row>35</xdr:row>
      <xdr:rowOff>155375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41084FB9-686D-4632-8E70-9B63C7736B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50" r="19742"/>
        <a:stretch/>
      </xdr:blipFill>
      <xdr:spPr>
        <a:xfrm>
          <a:off x="4242288" y="5583114"/>
          <a:ext cx="2310880" cy="5437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5.NSH\2022\Estudos%20e%20Projetos\7.0%20-%20Escola%20Monteiro%20Lobato%20-%20Refoma\PLANILHA%20OR&#199;AMENT&#193;RIA%20MONTEIRO%20%202021%20-%20Porcelanat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5.NSH\2022\15.1%20-%20Obras%20em%20Contrato%202022\2022.XX-%20Projeto%20de%20Reforma%20Centro%20de%20Eventos%20Antenor%20Bezerra\1.0%20Projeto%20e%20Estudo%20Inicial\Projeto%20RF\PLANILHA%20OR&#199;AMENT&#193;RIA%20CENTRO%20DE%20EVENTOS%20R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5.NSH\2022\15.3%20-%20Estudos%20e%20Projetos\Reforma%20CRAS%20%20e%20Secretaria%20de%20Assist&#234;ncia%20Social\PLANILHA%20OR&#199;AMENT&#193;RIA%20REFORMA%20CR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 ORÇAMENTO"/>
      <sheetName val="PLANILHA ORÇAMENTÁRIA COMPL."/>
      <sheetName val="QUANTITATIVOS"/>
      <sheetName val="BDI"/>
      <sheetName val="COMPOSIÇÃO I"/>
      <sheetName val="COMPOSIÇÃO II "/>
      <sheetName val="CRONOGRAMA "/>
      <sheetName val="ORÇ. FNDE"/>
    </sheetNames>
    <sheetDataSet>
      <sheetData sheetId="0" refreshError="1"/>
      <sheetData sheetId="1" refreshError="1"/>
      <sheetData sheetId="2" refreshError="1">
        <row r="18">
          <cell r="D18" t="str">
            <v xml:space="preserve">PLACA DE OBRA EM CHAPA DE ACO GALVANIZADO </v>
          </cell>
          <cell r="G18" t="str">
            <v>m²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 ORÇAMENTO"/>
      <sheetName val="CRONOGRAMA "/>
      <sheetName val="PLANILHA ORÇAMENTÁRIA COMPL."/>
      <sheetName val="BDI"/>
      <sheetName val="COMPOSIÇÃO I"/>
      <sheetName val="COMPOSIÇÃO II"/>
      <sheetName val="COMPOSIÇÃO III."/>
      <sheetName val="COMPOSIÇÃO IV"/>
      <sheetName val="COTAÇÕES"/>
      <sheetName val="COMPOSIÇÃO III"/>
      <sheetName val="TABELA DE ESQUADRIAS "/>
      <sheetName val="Lista de Serviços a executar"/>
      <sheetName val="QUANTITATIVOS"/>
    </sheetNames>
    <sheetDataSet>
      <sheetData sheetId="0">
        <row r="9">
          <cell r="A9">
            <v>1</v>
          </cell>
        </row>
        <row r="10">
          <cell r="A10">
            <v>2</v>
          </cell>
        </row>
        <row r="11">
          <cell r="A11">
            <v>3</v>
          </cell>
        </row>
        <row r="12">
          <cell r="A12">
            <v>4</v>
          </cell>
        </row>
        <row r="13">
          <cell r="A13">
            <v>5</v>
          </cell>
        </row>
        <row r="14">
          <cell r="A14">
            <v>6</v>
          </cell>
        </row>
        <row r="15">
          <cell r="A15">
            <v>7</v>
          </cell>
        </row>
        <row r="16">
          <cell r="A16">
            <v>8</v>
          </cell>
        </row>
        <row r="17">
          <cell r="A17">
            <v>9</v>
          </cell>
        </row>
      </sheetData>
      <sheetData sheetId="1"/>
      <sheetData sheetId="2">
        <row r="12">
          <cell r="C12" t="str">
            <v xml:space="preserve">ADMINISTRAÇÃO DE OBRA 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 ORÇAMENTO"/>
      <sheetName val="CRONOGRAMA "/>
      <sheetName val="PLANILHA ORÇAMENTÁRIA COMPL."/>
      <sheetName val="BDI"/>
      <sheetName val="COMPOSIÇÃO I"/>
      <sheetName val="COMPOSIÇÃO II"/>
      <sheetName val="COMPOSIÇÃO III."/>
      <sheetName val="COMPOSIÇÃO IV"/>
      <sheetName val="COTAÇÕES"/>
      <sheetName val="QUANTITATIVOS"/>
    </sheetNames>
    <sheetDataSet>
      <sheetData sheetId="0"/>
      <sheetData sheetId="1"/>
      <sheetData sheetId="2"/>
      <sheetData sheetId="3"/>
      <sheetData sheetId="4"/>
      <sheetData sheetId="5">
        <row r="3">
          <cell r="D3">
            <v>0.23535496426352442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tabSelected="1" zoomScale="145" zoomScaleNormal="145" workbookViewId="0">
      <selection activeCell="C25" sqref="C25"/>
    </sheetView>
  </sheetViews>
  <sheetFormatPr defaultRowHeight="12.75" x14ac:dyDescent="0.2"/>
  <cols>
    <col min="1" max="1" width="7.33203125" customWidth="1"/>
    <col min="2" max="2" width="10.5" customWidth="1"/>
    <col min="3" max="3" width="58.83203125" customWidth="1"/>
    <col min="4" max="4" width="6.83203125" customWidth="1"/>
    <col min="5" max="5" width="7.1640625" customWidth="1"/>
    <col min="6" max="6" width="7.5" customWidth="1"/>
    <col min="7" max="7" width="11.5" customWidth="1"/>
    <col min="8" max="8" width="13.33203125" bestFit="1" customWidth="1"/>
  </cols>
  <sheetData>
    <row r="1" spans="1:8" ht="6.75" customHeight="1" thickBot="1" x14ac:dyDescent="0.25">
      <c r="A1" s="274"/>
      <c r="B1" s="275"/>
      <c r="C1" s="275"/>
      <c r="D1" s="275"/>
      <c r="E1" s="275"/>
      <c r="F1" s="275"/>
      <c r="G1" s="275"/>
      <c r="H1" s="276"/>
    </row>
    <row r="2" spans="1:8" ht="26.25" customHeight="1" x14ac:dyDescent="0.2">
      <c r="A2" s="277"/>
      <c r="B2" s="278"/>
      <c r="C2" s="297" t="s">
        <v>98</v>
      </c>
      <c r="D2" s="292" t="s">
        <v>188</v>
      </c>
      <c r="E2" s="293"/>
      <c r="F2" s="294"/>
      <c r="G2" s="279"/>
      <c r="H2" s="280"/>
    </row>
    <row r="3" spans="1:8" ht="13.5" customHeight="1" x14ac:dyDescent="0.2">
      <c r="A3" s="277"/>
      <c r="B3" s="278"/>
      <c r="C3" s="298"/>
      <c r="D3" s="281" t="s">
        <v>1</v>
      </c>
      <c r="E3" s="282"/>
      <c r="F3" s="283"/>
      <c r="G3" s="279"/>
      <c r="H3" s="280"/>
    </row>
    <row r="4" spans="1:8" ht="17.25" customHeight="1" thickBot="1" x14ac:dyDescent="0.25">
      <c r="A4" s="277"/>
      <c r="B4" s="278"/>
      <c r="C4" s="299"/>
      <c r="D4" s="17" t="s">
        <v>2</v>
      </c>
      <c r="E4" s="284">
        <f>BDI!E4</f>
        <v>0.23535496426352442</v>
      </c>
      <c r="F4" s="285"/>
      <c r="G4" s="279"/>
      <c r="H4" s="280"/>
    </row>
    <row r="5" spans="1:8" ht="10.35" customHeight="1" thickBot="1" x14ac:dyDescent="0.25">
      <c r="A5" s="289" t="s">
        <v>65</v>
      </c>
      <c r="B5" s="290"/>
      <c r="C5" s="290"/>
      <c r="D5" s="290"/>
      <c r="E5" s="290"/>
      <c r="F5" s="290"/>
      <c r="G5" s="290"/>
      <c r="H5" s="291"/>
    </row>
    <row r="6" spans="1:8" ht="21" customHeight="1" x14ac:dyDescent="0.2">
      <c r="A6" s="18" t="s">
        <v>3</v>
      </c>
      <c r="B6" s="295" t="s">
        <v>183</v>
      </c>
      <c r="C6" s="295"/>
      <c r="D6" s="295"/>
      <c r="E6" s="295"/>
      <c r="F6" s="295"/>
      <c r="G6" s="295"/>
      <c r="H6" s="34" t="s">
        <v>111</v>
      </c>
    </row>
    <row r="7" spans="1:8" ht="13.5" customHeight="1" thickBot="1" x14ac:dyDescent="0.25">
      <c r="A7" s="18" t="s">
        <v>89</v>
      </c>
      <c r="B7" s="296" t="s">
        <v>180</v>
      </c>
      <c r="C7" s="296"/>
      <c r="D7" s="296"/>
      <c r="E7" s="296"/>
      <c r="F7" s="296"/>
      <c r="G7" s="296"/>
      <c r="H7" s="39">
        <f ca="1">TODAY()</f>
        <v>44680</v>
      </c>
    </row>
    <row r="8" spans="1:8" ht="11.25" customHeight="1" thickBot="1" x14ac:dyDescent="0.25">
      <c r="A8" s="286" t="s">
        <v>112</v>
      </c>
      <c r="B8" s="287"/>
      <c r="C8" s="287"/>
      <c r="D8" s="287"/>
      <c r="E8" s="287"/>
      <c r="F8" s="287"/>
      <c r="G8" s="287"/>
      <c r="H8" s="288"/>
    </row>
    <row r="9" spans="1:8" ht="10.5" customHeight="1" x14ac:dyDescent="0.2">
      <c r="A9" s="3">
        <v>1</v>
      </c>
      <c r="B9" s="263" t="str">
        <f>'PLANILHA ORÇAMENTÁRIA '!C12</f>
        <v>ADMINISTRAÇÃO DE OBRA</v>
      </c>
      <c r="C9" s="264"/>
      <c r="D9" s="264"/>
      <c r="E9" s="264"/>
      <c r="F9" s="8">
        <f>G9/G18</f>
        <v>4.0857484804592503E-2</v>
      </c>
      <c r="G9" s="267">
        <f>'PLANILHA ORÇAMENTÁRIA '!H12</f>
        <v>3062.247299614995</v>
      </c>
      <c r="H9" s="268"/>
    </row>
    <row r="10" spans="1:8" ht="10.7" customHeight="1" x14ac:dyDescent="0.2">
      <c r="A10" s="4">
        <v>2</v>
      </c>
      <c r="B10" s="261" t="str">
        <f>'PLANILHA ORÇAMENTÁRIA '!C14</f>
        <v>SERVIÇOS PRELIMINARES</v>
      </c>
      <c r="C10" s="262"/>
      <c r="D10" s="262"/>
      <c r="E10" s="262"/>
      <c r="F10" s="7">
        <f>G10/G18</f>
        <v>2.3521930075668086E-2</v>
      </c>
      <c r="G10" s="265">
        <f>'PLANILHA ORÇAMENTÁRIA '!H14</f>
        <v>1762.9564619663263</v>
      </c>
      <c r="H10" s="266"/>
    </row>
    <row r="11" spans="1:8" ht="10.7" customHeight="1" x14ac:dyDescent="0.2">
      <c r="A11" s="4">
        <v>3</v>
      </c>
      <c r="B11" s="261" t="str">
        <f>'PLANILHA ORÇAMENTÁRIA '!C21</f>
        <v xml:space="preserve">ESQUADRIAS </v>
      </c>
      <c r="C11" s="262"/>
      <c r="D11" s="262"/>
      <c r="E11" s="262"/>
      <c r="F11" s="7">
        <f>G11/G18</f>
        <v>6.3202070805613089E-2</v>
      </c>
      <c r="G11" s="265">
        <f>'PLANILHA ORÇAMENTÁRIA '!H21</f>
        <v>4736.962433693664</v>
      </c>
      <c r="H11" s="266"/>
    </row>
    <row r="12" spans="1:8" ht="10.7" customHeight="1" x14ac:dyDescent="0.2">
      <c r="A12" s="4">
        <v>4</v>
      </c>
      <c r="B12" s="261" t="str">
        <f>'PLANILHA ORÇAMENTÁRIA '!C23</f>
        <v xml:space="preserve">PISOS E CALÇAMENTOS </v>
      </c>
      <c r="C12" s="262"/>
      <c r="D12" s="262"/>
      <c r="E12" s="262"/>
      <c r="F12" s="7">
        <f>G12/G18</f>
        <v>8.36529449223994E-2</v>
      </c>
      <c r="G12" s="265">
        <f>'PLANILHA ORÇAMENTÁRIA '!H23</f>
        <v>6269.7448440258768</v>
      </c>
      <c r="H12" s="266"/>
    </row>
    <row r="13" spans="1:8" ht="10.7" customHeight="1" x14ac:dyDescent="0.2">
      <c r="A13" s="4">
        <v>5</v>
      </c>
      <c r="B13" s="261" t="str">
        <f>'PLANILHA ORÇAMENTÁRIA '!C26</f>
        <v>PINTURAS</v>
      </c>
      <c r="C13" s="262"/>
      <c r="D13" s="262"/>
      <c r="E13" s="262"/>
      <c r="F13" s="7">
        <f>G13/G18</f>
        <v>0.34824461220778558</v>
      </c>
      <c r="G13" s="265">
        <f>'PLANILHA ORÇAMENTÁRIA '!H26</f>
        <v>26100.753104089628</v>
      </c>
      <c r="H13" s="266"/>
    </row>
    <row r="14" spans="1:8" ht="10.7" customHeight="1" x14ac:dyDescent="0.2">
      <c r="A14" s="4">
        <v>6</v>
      </c>
      <c r="B14" s="261" t="str">
        <f>'PLANILHA ORÇAMENTÁRIA '!C42</f>
        <v>COBERTURAS, PERGOLAS, RUFOS E PINGADEIRAS</v>
      </c>
      <c r="C14" s="262"/>
      <c r="D14" s="262"/>
      <c r="E14" s="262"/>
      <c r="F14" s="7">
        <f>G14/G18</f>
        <v>9.1409133471769557E-2</v>
      </c>
      <c r="G14" s="265">
        <f>'PLANILHA ORÇAMENTÁRIA '!H42</f>
        <v>6851.0671538598835</v>
      </c>
      <c r="H14" s="266"/>
    </row>
    <row r="15" spans="1:8" ht="10.7" customHeight="1" x14ac:dyDescent="0.2">
      <c r="A15" s="4">
        <v>7</v>
      </c>
      <c r="B15" s="261" t="str">
        <f>'PLANILHA ORÇAMENTÁRIA '!C50</f>
        <v>GESSO</v>
      </c>
      <c r="C15" s="262"/>
      <c r="D15" s="262"/>
      <c r="E15" s="262"/>
      <c r="F15" s="7">
        <f>G15/G18</f>
        <v>9.9611162421264277E-2</v>
      </c>
      <c r="G15" s="265">
        <f>'PLANILHA ORÇAMENTÁRIA '!H50</f>
        <v>7465.804970494426</v>
      </c>
      <c r="H15" s="266"/>
    </row>
    <row r="16" spans="1:8" ht="10.7" customHeight="1" x14ac:dyDescent="0.2">
      <c r="A16" s="4">
        <v>8</v>
      </c>
      <c r="B16" s="261" t="str">
        <f>'PLANILHA ORÇAMENTÁRIA '!C52</f>
        <v>ALVENARIAS</v>
      </c>
      <c r="C16" s="262"/>
      <c r="D16" s="262"/>
      <c r="E16" s="262"/>
      <c r="F16" s="7">
        <f>G16/G18</f>
        <v>0.22478508388598198</v>
      </c>
      <c r="G16" s="265">
        <f>'PLANILHA ORÇAMENTÁRIA '!H52</f>
        <v>16847.525475826798</v>
      </c>
      <c r="H16" s="266"/>
    </row>
    <row r="17" spans="1:8" ht="10.7" customHeight="1" thickBot="1" x14ac:dyDescent="0.25">
      <c r="A17" s="4">
        <v>9</v>
      </c>
      <c r="B17" s="261" t="str">
        <f>'PLANILHA ORÇAMENTÁRIA '!C56</f>
        <v>PAISAGISMO</v>
      </c>
      <c r="C17" s="262"/>
      <c r="D17" s="262"/>
      <c r="E17" s="262"/>
      <c r="F17" s="7">
        <f>G17/G18</f>
        <v>2.4715577404925561E-2</v>
      </c>
      <c r="G17" s="265">
        <f>'PLANILHA ORÇAMENTÁRIA '!H56</f>
        <v>1852.4197103330121</v>
      </c>
      <c r="H17" s="266"/>
    </row>
    <row r="18" spans="1:8" ht="14.25" customHeight="1" thickBot="1" x14ac:dyDescent="0.25">
      <c r="A18" s="269" t="s">
        <v>0</v>
      </c>
      <c r="B18" s="270"/>
      <c r="C18" s="270"/>
      <c r="D18" s="270"/>
      <c r="E18" s="271"/>
      <c r="F18" s="216">
        <f>SUM(F9:F17)</f>
        <v>1</v>
      </c>
      <c r="G18" s="272">
        <f>SUM(G9:H17)</f>
        <v>74949.481453904606</v>
      </c>
      <c r="H18" s="273"/>
    </row>
    <row r="23" spans="1:8" x14ac:dyDescent="0.2">
      <c r="H23" s="6"/>
    </row>
    <row r="24" spans="1:8" x14ac:dyDescent="0.2">
      <c r="H24" s="6"/>
    </row>
    <row r="25" spans="1:8" x14ac:dyDescent="0.2">
      <c r="H25" s="6"/>
    </row>
    <row r="26" spans="1:8" x14ac:dyDescent="0.2">
      <c r="H26" s="6"/>
    </row>
    <row r="27" spans="1:8" x14ac:dyDescent="0.2">
      <c r="H27" s="6"/>
    </row>
    <row r="28" spans="1:8" x14ac:dyDescent="0.2">
      <c r="H28" s="6"/>
    </row>
    <row r="29" spans="1:8" x14ac:dyDescent="0.2">
      <c r="H29" s="6"/>
    </row>
    <row r="30" spans="1:8" x14ac:dyDescent="0.2">
      <c r="H30" s="6"/>
    </row>
  </sheetData>
  <mergeCells count="31">
    <mergeCell ref="A8:H8"/>
    <mergeCell ref="A5:H5"/>
    <mergeCell ref="D2:F2"/>
    <mergeCell ref="B6:G6"/>
    <mergeCell ref="B7:G7"/>
    <mergeCell ref="C2:C4"/>
    <mergeCell ref="A1:H1"/>
    <mergeCell ref="A2:B4"/>
    <mergeCell ref="G2:H4"/>
    <mergeCell ref="D3:F3"/>
    <mergeCell ref="E4:F4"/>
    <mergeCell ref="B14:E14"/>
    <mergeCell ref="B15:E15"/>
    <mergeCell ref="B16:E16"/>
    <mergeCell ref="A18:E18"/>
    <mergeCell ref="G18:H18"/>
    <mergeCell ref="G16:H16"/>
    <mergeCell ref="G15:H15"/>
    <mergeCell ref="G14:H14"/>
    <mergeCell ref="B17:E17"/>
    <mergeCell ref="G17:H17"/>
    <mergeCell ref="G10:H10"/>
    <mergeCell ref="G9:H9"/>
    <mergeCell ref="G13:H13"/>
    <mergeCell ref="G12:H12"/>
    <mergeCell ref="G11:H11"/>
    <mergeCell ref="B11:E11"/>
    <mergeCell ref="B12:E12"/>
    <mergeCell ref="B13:E13"/>
    <mergeCell ref="B9:E9"/>
    <mergeCell ref="B10:E10"/>
  </mergeCells>
  <phoneticPr fontId="26" type="noConversion"/>
  <pageMargins left="0.25" right="0.25" top="0.75" bottom="0.75" header="0.3" footer="0.3"/>
  <pageSetup paperSize="9" scale="9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9"/>
  <sheetViews>
    <sheetView zoomScale="145" zoomScaleNormal="145" workbookViewId="0">
      <selection activeCell="C16" sqref="C16"/>
    </sheetView>
  </sheetViews>
  <sheetFormatPr defaultRowHeight="12.75" x14ac:dyDescent="0.2"/>
  <cols>
    <col min="1" max="1" width="6.83203125" customWidth="1"/>
    <col min="2" max="2" width="11.33203125" customWidth="1"/>
    <col min="3" max="3" width="61.33203125" customWidth="1"/>
    <col min="4" max="4" width="7.33203125" customWidth="1"/>
    <col min="5" max="5" width="7.83203125" customWidth="1"/>
    <col min="6" max="6" width="8" customWidth="1"/>
    <col min="7" max="7" width="8.6640625" customWidth="1"/>
    <col min="8" max="8" width="14.1640625" bestFit="1" customWidth="1"/>
    <col min="9" max="9" width="11.33203125" bestFit="1" customWidth="1"/>
    <col min="10" max="10" width="36.1640625" bestFit="1" customWidth="1"/>
    <col min="11" max="11" width="15.1640625" bestFit="1" customWidth="1"/>
    <col min="12" max="12" width="14.33203125" bestFit="1" customWidth="1"/>
  </cols>
  <sheetData>
    <row r="1" spans="1:9" ht="8.4499999999999993" customHeight="1" thickBot="1" x14ac:dyDescent="0.25">
      <c r="A1" s="274"/>
      <c r="B1" s="275"/>
      <c r="C1" s="275"/>
      <c r="D1" s="275"/>
      <c r="E1" s="275"/>
      <c r="F1" s="275"/>
      <c r="G1" s="275"/>
      <c r="H1" s="276"/>
      <c r="I1" s="22"/>
    </row>
    <row r="2" spans="1:9" ht="24" customHeight="1" x14ac:dyDescent="0.2">
      <c r="A2" s="277"/>
      <c r="B2" s="278"/>
      <c r="C2" s="308" t="s">
        <v>98</v>
      </c>
      <c r="D2" s="292" t="s">
        <v>188</v>
      </c>
      <c r="E2" s="293"/>
      <c r="F2" s="294"/>
      <c r="G2" s="279"/>
      <c r="H2" s="280"/>
      <c r="I2" s="22"/>
    </row>
    <row r="3" spans="1:9" ht="9.75" customHeight="1" x14ac:dyDescent="0.2">
      <c r="A3" s="277"/>
      <c r="B3" s="278"/>
      <c r="C3" s="309"/>
      <c r="D3" s="281" t="s">
        <v>1</v>
      </c>
      <c r="E3" s="282"/>
      <c r="F3" s="283"/>
      <c r="G3" s="279"/>
      <c r="H3" s="280"/>
      <c r="I3" s="22"/>
    </row>
    <row r="4" spans="1:9" ht="14.25" customHeight="1" thickBot="1" x14ac:dyDescent="0.25">
      <c r="A4" s="277"/>
      <c r="B4" s="278"/>
      <c r="C4" s="310"/>
      <c r="D4" s="17" t="s">
        <v>2</v>
      </c>
      <c r="E4" s="284">
        <f>BDI!E4</f>
        <v>0.23535496426352442</v>
      </c>
      <c r="F4" s="285"/>
      <c r="G4" s="279"/>
      <c r="H4" s="280"/>
      <c r="I4" s="22"/>
    </row>
    <row r="5" spans="1:9" ht="9.75" customHeight="1" thickBot="1" x14ac:dyDescent="0.25">
      <c r="A5" s="317" t="s">
        <v>93</v>
      </c>
      <c r="B5" s="318"/>
      <c r="C5" s="318"/>
      <c r="D5" s="318"/>
      <c r="E5" s="318"/>
      <c r="F5" s="318"/>
      <c r="G5" s="318"/>
      <c r="H5" s="319"/>
      <c r="I5" s="22"/>
    </row>
    <row r="6" spans="1:9" ht="15.75" customHeight="1" x14ac:dyDescent="0.2">
      <c r="A6" s="18" t="s">
        <v>3</v>
      </c>
      <c r="B6" s="295" t="s">
        <v>183</v>
      </c>
      <c r="C6" s="295"/>
      <c r="D6" s="295"/>
      <c r="E6" s="295"/>
      <c r="F6" s="295"/>
      <c r="G6" s="295"/>
      <c r="H6" s="34" t="s">
        <v>111</v>
      </c>
      <c r="I6" s="22"/>
    </row>
    <row r="7" spans="1:9" ht="11.25" customHeight="1" thickBot="1" x14ac:dyDescent="0.25">
      <c r="A7" s="18" t="s">
        <v>89</v>
      </c>
      <c r="B7" s="320" t="s">
        <v>180</v>
      </c>
      <c r="C7" s="320"/>
      <c r="D7" s="320"/>
      <c r="E7" s="320"/>
      <c r="F7" s="320"/>
      <c r="G7" s="320"/>
      <c r="H7" s="35">
        <f ca="1">TODAY()</f>
        <v>44680</v>
      </c>
      <c r="I7" s="22"/>
    </row>
    <row r="8" spans="1:9" ht="8.25" customHeight="1" thickBot="1" x14ac:dyDescent="0.25">
      <c r="A8" s="286" t="s">
        <v>97</v>
      </c>
      <c r="B8" s="287"/>
      <c r="C8" s="287"/>
      <c r="D8" s="287"/>
      <c r="E8" s="287"/>
      <c r="F8" s="287"/>
      <c r="G8" s="287"/>
      <c r="H8" s="288"/>
      <c r="I8" s="22"/>
    </row>
    <row r="9" spans="1:9" ht="18" customHeight="1" thickBot="1" x14ac:dyDescent="0.25">
      <c r="A9" s="31" t="s">
        <v>4</v>
      </c>
      <c r="B9" s="30" t="s">
        <v>5</v>
      </c>
      <c r="C9" s="30" t="s">
        <v>6</v>
      </c>
      <c r="D9" s="30" t="s">
        <v>7</v>
      </c>
      <c r="E9" s="30" t="s">
        <v>8</v>
      </c>
      <c r="F9" s="30" t="s">
        <v>9</v>
      </c>
      <c r="G9" s="30" t="s">
        <v>10</v>
      </c>
      <c r="H9" s="32" t="s">
        <v>11</v>
      </c>
      <c r="I9" s="22"/>
    </row>
    <row r="10" spans="1:9" ht="7.5" customHeight="1" x14ac:dyDescent="0.2">
      <c r="A10" s="311"/>
      <c r="B10" s="312"/>
      <c r="C10" s="312"/>
      <c r="D10" s="312"/>
      <c r="E10" s="312"/>
      <c r="F10" s="312"/>
      <c r="G10" s="312"/>
      <c r="H10" s="313"/>
      <c r="I10" s="22"/>
    </row>
    <row r="11" spans="1:9" ht="3.95" customHeight="1" thickBot="1" x14ac:dyDescent="0.25">
      <c r="A11" s="314"/>
      <c r="B11" s="315"/>
      <c r="C11" s="315"/>
      <c r="D11" s="315"/>
      <c r="E11" s="315"/>
      <c r="F11" s="315"/>
      <c r="G11" s="315"/>
      <c r="H11" s="316"/>
      <c r="I11" s="22"/>
    </row>
    <row r="12" spans="1:9" ht="12" customHeight="1" thickBot="1" x14ac:dyDescent="0.25">
      <c r="A12" s="218" t="s">
        <v>12</v>
      </c>
      <c r="B12" s="10"/>
      <c r="C12" s="226" t="s">
        <v>187</v>
      </c>
      <c r="D12" s="10"/>
      <c r="E12" s="10"/>
      <c r="F12" s="10"/>
      <c r="G12" s="10"/>
      <c r="H12" s="19">
        <f>SUM(H13)</f>
        <v>3062.247299614995</v>
      </c>
      <c r="I12" s="22"/>
    </row>
    <row r="13" spans="1:9" ht="11.25" customHeight="1" thickBot="1" x14ac:dyDescent="0.25">
      <c r="A13" s="174" t="s">
        <v>13</v>
      </c>
      <c r="B13" s="217" t="s">
        <v>121</v>
      </c>
      <c r="C13" s="12" t="s">
        <v>90</v>
      </c>
      <c r="D13" s="13" t="s">
        <v>61</v>
      </c>
      <c r="E13" s="25">
        <v>1</v>
      </c>
      <c r="F13" s="26">
        <f>'COMPOSIÇÃO I'!F13</f>
        <v>2478.84</v>
      </c>
      <c r="G13" s="26">
        <f>F13+(F13*E4)</f>
        <v>3062.247299614995</v>
      </c>
      <c r="H13" s="24">
        <f>E13*G13</f>
        <v>3062.247299614995</v>
      </c>
      <c r="I13" s="22"/>
    </row>
    <row r="14" spans="1:9" ht="12" customHeight="1" thickBot="1" x14ac:dyDescent="0.25">
      <c r="A14" s="180" t="s">
        <v>66</v>
      </c>
      <c r="B14" s="10"/>
      <c r="C14" s="226" t="s">
        <v>147</v>
      </c>
      <c r="D14" s="10"/>
      <c r="E14" s="10"/>
      <c r="F14" s="10"/>
      <c r="G14" s="10"/>
      <c r="H14" s="19">
        <f>SUM(H15:H20)</f>
        <v>1762.9564619663263</v>
      </c>
      <c r="I14" s="22"/>
    </row>
    <row r="15" spans="1:9" ht="8.25" customHeight="1" x14ac:dyDescent="0.2">
      <c r="A15" s="305" t="s">
        <v>148</v>
      </c>
      <c r="B15" s="306"/>
      <c r="C15" s="306"/>
      <c r="D15" s="306"/>
      <c r="E15" s="306"/>
      <c r="F15" s="306"/>
      <c r="G15" s="306"/>
      <c r="H15" s="307"/>
      <c r="I15" s="22"/>
    </row>
    <row r="16" spans="1:9" ht="12.75" customHeight="1" x14ac:dyDescent="0.2">
      <c r="A16" s="178" t="s">
        <v>67</v>
      </c>
      <c r="B16" s="219" t="s">
        <v>124</v>
      </c>
      <c r="C16" s="220" t="s">
        <v>125</v>
      </c>
      <c r="D16" s="221" t="str">
        <f>[1]QUANTITATIVOS!G18</f>
        <v>m²</v>
      </c>
      <c r="E16" s="221">
        <f>1.25*2.5</f>
        <v>3.125</v>
      </c>
      <c r="F16" s="222">
        <f>'COMPOSIÇÃO II'!F18</f>
        <v>331.19389999999999</v>
      </c>
      <c r="G16" s="222">
        <f>F16+(F16*E4)</f>
        <v>409.14202849879723</v>
      </c>
      <c r="H16" s="223">
        <f t="shared" ref="H16" si="0">E16*G16</f>
        <v>1278.5688390587413</v>
      </c>
      <c r="I16" s="22"/>
    </row>
    <row r="17" spans="1:18" x14ac:dyDescent="0.2">
      <c r="A17" s="300" t="s">
        <v>149</v>
      </c>
      <c r="B17" s="301"/>
      <c r="C17" s="301"/>
      <c r="D17" s="301"/>
      <c r="E17" s="301"/>
      <c r="F17" s="301"/>
      <c r="G17" s="301"/>
      <c r="H17" s="302"/>
      <c r="I17" s="22"/>
    </row>
    <row r="18" spans="1:18" ht="16.5" customHeight="1" x14ac:dyDescent="0.2">
      <c r="A18" s="174" t="s">
        <v>68</v>
      </c>
      <c r="B18" s="11">
        <v>97461</v>
      </c>
      <c r="C18" s="224" t="s">
        <v>257</v>
      </c>
      <c r="D18" s="15" t="s">
        <v>62</v>
      </c>
      <c r="E18" s="25">
        <f>E39</f>
        <v>79.540000000000006</v>
      </c>
      <c r="F18" s="26">
        <v>4.0199999999999996</v>
      </c>
      <c r="G18" s="26">
        <f>F18+(F18*E4)</f>
        <v>4.9661269563393677</v>
      </c>
      <c r="H18" s="24">
        <f>E18*G18</f>
        <v>395.00573810723336</v>
      </c>
      <c r="I18" s="22" t="s">
        <v>249</v>
      </c>
    </row>
    <row r="19" spans="1:18" ht="16.5" customHeight="1" x14ac:dyDescent="0.2">
      <c r="A19" s="174" t="s">
        <v>69</v>
      </c>
      <c r="B19" s="11">
        <v>97644</v>
      </c>
      <c r="C19" s="224" t="s">
        <v>258</v>
      </c>
      <c r="D19" s="2" t="s">
        <v>62</v>
      </c>
      <c r="E19" s="25">
        <f>0.8*2.1</f>
        <v>1.6800000000000002</v>
      </c>
      <c r="F19" s="23">
        <v>7.54</v>
      </c>
      <c r="G19" s="23">
        <f>F19+(F19*E4)</f>
        <v>9.3145764305469747</v>
      </c>
      <c r="H19" s="28">
        <f>E19*G19</f>
        <v>15.648488403318918</v>
      </c>
      <c r="I19" s="22" t="s">
        <v>249</v>
      </c>
      <c r="J19" t="s">
        <v>181</v>
      </c>
      <c r="M19" t="s">
        <v>244</v>
      </c>
    </row>
    <row r="20" spans="1:18" ht="16.5" customHeight="1" thickBot="1" x14ac:dyDescent="0.25">
      <c r="A20" s="174" t="s">
        <v>70</v>
      </c>
      <c r="B20" s="11">
        <v>97645</v>
      </c>
      <c r="C20" s="224" t="s">
        <v>110</v>
      </c>
      <c r="D20" s="2" t="s">
        <v>62</v>
      </c>
      <c r="E20" s="25">
        <f>2*1.1</f>
        <v>2.2000000000000002</v>
      </c>
      <c r="F20" s="23">
        <v>27.13</v>
      </c>
      <c r="G20" s="23">
        <f>F20+(F20*E4)</f>
        <v>33.515180180469414</v>
      </c>
      <c r="H20" s="28">
        <f t="shared" ref="H20" si="1">E20*G20</f>
        <v>73.73339639703272</v>
      </c>
      <c r="I20" s="22" t="s">
        <v>249</v>
      </c>
      <c r="J20" t="s">
        <v>165</v>
      </c>
      <c r="M20">
        <v>18</v>
      </c>
      <c r="N20">
        <v>25</v>
      </c>
      <c r="O20">
        <v>15</v>
      </c>
    </row>
    <row r="21" spans="1:18" ht="12" customHeight="1" thickBot="1" x14ac:dyDescent="0.25">
      <c r="A21" s="180" t="s">
        <v>71</v>
      </c>
      <c r="B21" s="10"/>
      <c r="C21" s="14" t="s">
        <v>284</v>
      </c>
      <c r="D21" s="10"/>
      <c r="E21" s="10"/>
      <c r="F21" s="10"/>
      <c r="G21" s="10"/>
      <c r="H21" s="19">
        <f>SUM(H22:H22)</f>
        <v>4736.962433693664</v>
      </c>
      <c r="I21" s="22"/>
      <c r="M21">
        <v>1</v>
      </c>
      <c r="N21">
        <v>1</v>
      </c>
      <c r="O21">
        <v>2</v>
      </c>
    </row>
    <row r="22" spans="1:18" ht="19.5" customHeight="1" thickBot="1" x14ac:dyDescent="0.25">
      <c r="A22" s="148" t="s">
        <v>72</v>
      </c>
      <c r="B22" s="15" t="s">
        <v>169</v>
      </c>
      <c r="C22" s="172" t="s">
        <v>255</v>
      </c>
      <c r="D22" s="150" t="s">
        <v>62</v>
      </c>
      <c r="E22" s="171">
        <f>2.5*2.1</f>
        <v>5.25</v>
      </c>
      <c r="F22" s="26">
        <f>'COMPOSIÇÁO III'!F15</f>
        <v>730.38000000000011</v>
      </c>
      <c r="G22" s="26">
        <f>F22+(F22*E4)</f>
        <v>902.27855879879314</v>
      </c>
      <c r="H22" s="24">
        <f t="shared" ref="H22" si="2">E22*G22</f>
        <v>4736.962433693664</v>
      </c>
      <c r="I22" s="213" t="s">
        <v>252</v>
      </c>
      <c r="J22" s="173" t="s">
        <v>167</v>
      </c>
      <c r="M22">
        <v>1.6</v>
      </c>
      <c r="N22">
        <v>1.6</v>
      </c>
      <c r="O22">
        <v>1.6</v>
      </c>
    </row>
    <row r="23" spans="1:18" ht="12" customHeight="1" thickBot="1" x14ac:dyDescent="0.25">
      <c r="A23" s="180" t="s">
        <v>73</v>
      </c>
      <c r="B23" s="10"/>
      <c r="C23" s="14" t="s">
        <v>182</v>
      </c>
      <c r="D23" s="10"/>
      <c r="E23" s="10"/>
      <c r="F23" s="10"/>
      <c r="G23" s="10"/>
      <c r="H23" s="19">
        <f>SUM(H24:H25)</f>
        <v>6269.7448440258768</v>
      </c>
      <c r="I23" s="22"/>
      <c r="M23">
        <f>M20*M21*M22</f>
        <v>28.8</v>
      </c>
      <c r="N23">
        <f>N20*N21*N22</f>
        <v>40</v>
      </c>
      <c r="O23">
        <f>O20*O21*O22</f>
        <v>48</v>
      </c>
      <c r="P23">
        <f>M23+N23+O23</f>
        <v>116.8</v>
      </c>
    </row>
    <row r="24" spans="1:18" ht="16.5" x14ac:dyDescent="0.2">
      <c r="A24" s="174" t="s">
        <v>74</v>
      </c>
      <c r="B24" s="11">
        <v>94990</v>
      </c>
      <c r="C24" s="225" t="s">
        <v>259</v>
      </c>
      <c r="D24" s="15" t="s">
        <v>63</v>
      </c>
      <c r="E24" s="25">
        <f>E25*0.06</f>
        <v>6.6779999999999999</v>
      </c>
      <c r="F24" s="26">
        <v>713.33</v>
      </c>
      <c r="G24" s="26">
        <f>F24+(F24*E4)</f>
        <v>881.21575665809996</v>
      </c>
      <c r="H24" s="24">
        <f>G24*E24</f>
        <v>5884.7588229627918</v>
      </c>
      <c r="I24" s="22"/>
      <c r="J24" t="s">
        <v>166</v>
      </c>
    </row>
    <row r="25" spans="1:18" ht="17.25" thickBot="1" x14ac:dyDescent="0.25">
      <c r="A25" s="148" t="s">
        <v>75</v>
      </c>
      <c r="B25" s="170">
        <v>97083</v>
      </c>
      <c r="C25" s="172" t="s">
        <v>260</v>
      </c>
      <c r="D25" s="150" t="s">
        <v>62</v>
      </c>
      <c r="E25" s="171">
        <f>120-E58</f>
        <v>111.3</v>
      </c>
      <c r="F25" s="23">
        <v>2.8</v>
      </c>
      <c r="G25" s="23">
        <f>F25+(F25*E4)</f>
        <v>3.4589938999378682</v>
      </c>
      <c r="H25" s="28">
        <f>G25*E25</f>
        <v>384.98602106308471</v>
      </c>
      <c r="I25" s="22"/>
    </row>
    <row r="26" spans="1:18" ht="13.5" thickBot="1" x14ac:dyDescent="0.25">
      <c r="A26" s="180" t="s">
        <v>76</v>
      </c>
      <c r="B26" s="10"/>
      <c r="C26" s="14" t="s">
        <v>152</v>
      </c>
      <c r="D26" s="10"/>
      <c r="E26" s="10"/>
      <c r="F26" s="10"/>
      <c r="G26" s="10"/>
      <c r="H26" s="19">
        <f>SUM(H27:H41)</f>
        <v>26100.753104089628</v>
      </c>
      <c r="I26" s="22"/>
    </row>
    <row r="27" spans="1:18" x14ac:dyDescent="0.2">
      <c r="A27" s="300" t="s">
        <v>194</v>
      </c>
      <c r="B27" s="301"/>
      <c r="C27" s="301"/>
      <c r="D27" s="301"/>
      <c r="E27" s="301"/>
      <c r="F27" s="301"/>
      <c r="G27" s="301"/>
      <c r="H27" s="302"/>
      <c r="I27" s="22"/>
    </row>
    <row r="28" spans="1:18" ht="16.5" x14ac:dyDescent="0.2">
      <c r="A28" s="246" t="s">
        <v>77</v>
      </c>
      <c r="B28" s="5">
        <v>88412</v>
      </c>
      <c r="C28" s="149" t="s">
        <v>263</v>
      </c>
      <c r="D28" s="16" t="s">
        <v>62</v>
      </c>
      <c r="E28" s="20">
        <f>E30</f>
        <v>30.428999999999998</v>
      </c>
      <c r="F28" s="27">
        <v>1.39</v>
      </c>
      <c r="G28" s="27">
        <f>F28+(F28*E4)</f>
        <v>1.7171434003262989</v>
      </c>
      <c r="H28" s="247">
        <f>G28*E28</f>
        <v>52.250956528528945</v>
      </c>
      <c r="I28" s="22"/>
      <c r="R28" s="173" t="s">
        <v>195</v>
      </c>
    </row>
    <row r="29" spans="1:18" x14ac:dyDescent="0.2">
      <c r="A29" s="246" t="s">
        <v>78</v>
      </c>
      <c r="B29" s="5">
        <v>88489</v>
      </c>
      <c r="C29" s="149" t="s">
        <v>262</v>
      </c>
      <c r="D29" s="16" t="s">
        <v>62</v>
      </c>
      <c r="E29" s="20">
        <f>M99</f>
        <v>608.57999999999993</v>
      </c>
      <c r="F29" s="27">
        <v>12.98</v>
      </c>
      <c r="G29" s="27">
        <f>F29+(F29*E4)</f>
        <v>16.034907436140546</v>
      </c>
      <c r="H29" s="247">
        <f>G29*E29</f>
        <v>9758.5239674864133</v>
      </c>
      <c r="I29" s="22"/>
    </row>
    <row r="30" spans="1:18" x14ac:dyDescent="0.2">
      <c r="A30" s="246" t="s">
        <v>100</v>
      </c>
      <c r="B30" s="5">
        <v>88497</v>
      </c>
      <c r="C30" s="149" t="s">
        <v>261</v>
      </c>
      <c r="D30" s="16" t="s">
        <v>62</v>
      </c>
      <c r="E30" s="20">
        <f>0.05*E29</f>
        <v>30.428999999999998</v>
      </c>
      <c r="F30" s="27">
        <v>14.63</v>
      </c>
      <c r="G30" s="27">
        <f>F30+(F30*E4)</f>
        <v>18.073243127175363</v>
      </c>
      <c r="H30" s="247">
        <f>G30*E30</f>
        <v>549.95071511681908</v>
      </c>
      <c r="I30" s="22"/>
    </row>
    <row r="31" spans="1:18" x14ac:dyDescent="0.2">
      <c r="A31" s="300" t="s">
        <v>193</v>
      </c>
      <c r="B31" s="301"/>
      <c r="C31" s="301"/>
      <c r="D31" s="301"/>
      <c r="E31" s="301"/>
      <c r="F31" s="301"/>
      <c r="G31" s="301"/>
      <c r="H31" s="302"/>
      <c r="I31" s="22"/>
    </row>
    <row r="32" spans="1:18" ht="16.5" x14ac:dyDescent="0.2">
      <c r="A32" s="246" t="s">
        <v>101</v>
      </c>
      <c r="B32" s="5">
        <v>88412</v>
      </c>
      <c r="C32" s="227" t="s">
        <v>265</v>
      </c>
      <c r="D32" s="16" t="s">
        <v>62</v>
      </c>
      <c r="E32" s="20">
        <f>E33</f>
        <v>168.53</v>
      </c>
      <c r="F32" s="27">
        <v>1.39</v>
      </c>
      <c r="G32" s="27">
        <f>F32+(F32*E4)</f>
        <v>1.7171434003262989</v>
      </c>
      <c r="H32" s="247">
        <f>G32*E32</f>
        <v>289.39017725699114</v>
      </c>
      <c r="I32" s="22"/>
    </row>
    <row r="33" spans="1:18" x14ac:dyDescent="0.2">
      <c r="A33" s="246" t="s">
        <v>102</v>
      </c>
      <c r="B33" s="134">
        <v>95305</v>
      </c>
      <c r="C33" s="228" t="s">
        <v>264</v>
      </c>
      <c r="D33" s="16" t="s">
        <v>62</v>
      </c>
      <c r="E33" s="20">
        <f>P23+E54</f>
        <v>168.53</v>
      </c>
      <c r="F33" s="27">
        <v>11.71</v>
      </c>
      <c r="G33" s="27">
        <f>F33+(F33*E4)</f>
        <v>14.466006631525872</v>
      </c>
      <c r="H33" s="247">
        <f>G33*E33</f>
        <v>2437.9560976110552</v>
      </c>
      <c r="I33" s="22"/>
      <c r="J33" t="s">
        <v>173</v>
      </c>
    </row>
    <row r="34" spans="1:18" x14ac:dyDescent="0.2">
      <c r="A34" s="246" t="s">
        <v>103</v>
      </c>
      <c r="B34" s="5">
        <v>88489</v>
      </c>
      <c r="C34" s="227" t="s">
        <v>262</v>
      </c>
      <c r="D34" s="16" t="s">
        <v>62</v>
      </c>
      <c r="E34" s="20">
        <f>(90*5.15)+E33</f>
        <v>632.03000000000009</v>
      </c>
      <c r="F34" s="27">
        <v>12.98</v>
      </c>
      <c r="G34" s="27">
        <f>F34+(F34*E4)</f>
        <v>16.034907436140546</v>
      </c>
      <c r="H34" s="247">
        <f>G34*E34</f>
        <v>10134.542546863911</v>
      </c>
      <c r="I34" s="22"/>
      <c r="J34" s="173" t="s">
        <v>196</v>
      </c>
    </row>
    <row r="35" spans="1:18" x14ac:dyDescent="0.2">
      <c r="A35" s="300" t="s">
        <v>179</v>
      </c>
      <c r="B35" s="301"/>
      <c r="C35" s="301"/>
      <c r="D35" s="301"/>
      <c r="E35" s="301"/>
      <c r="F35" s="301"/>
      <c r="G35" s="301"/>
      <c r="H35" s="302"/>
      <c r="I35" s="22"/>
    </row>
    <row r="36" spans="1:18" x14ac:dyDescent="0.2">
      <c r="A36" s="246" t="s">
        <v>104</v>
      </c>
      <c r="B36" s="5">
        <v>102207</v>
      </c>
      <c r="C36" s="227" t="s">
        <v>267</v>
      </c>
      <c r="D36" s="16" t="s">
        <v>62</v>
      </c>
      <c r="E36" s="20">
        <f>N80</f>
        <v>21.840000000000003</v>
      </c>
      <c r="F36" s="27">
        <v>6.74</v>
      </c>
      <c r="G36" s="27">
        <f>F36+(F36*E4)</f>
        <v>8.3262924591361553</v>
      </c>
      <c r="H36" s="247">
        <f>G36*E36</f>
        <v>181.84622730753367</v>
      </c>
      <c r="I36" s="22"/>
    </row>
    <row r="37" spans="1:18" x14ac:dyDescent="0.2">
      <c r="A37" s="246" t="s">
        <v>106</v>
      </c>
      <c r="B37" s="5">
        <v>102213</v>
      </c>
      <c r="C37" s="227" t="s">
        <v>266</v>
      </c>
      <c r="D37" s="16" t="s">
        <v>62</v>
      </c>
      <c r="E37" s="20">
        <f>(S55)+T55</f>
        <v>39.92</v>
      </c>
      <c r="F37" s="27">
        <v>15.81</v>
      </c>
      <c r="G37" s="27">
        <f>F37+(F37*E4)</f>
        <v>19.530961985006321</v>
      </c>
      <c r="H37" s="247">
        <f>G37*E37</f>
        <v>779.6760024414524</v>
      </c>
      <c r="I37" s="22"/>
      <c r="J37" s="173" t="s">
        <v>197</v>
      </c>
    </row>
    <row r="38" spans="1:18" x14ac:dyDescent="0.2">
      <c r="A38" s="300" t="s">
        <v>170</v>
      </c>
      <c r="B38" s="301"/>
      <c r="C38" s="301"/>
      <c r="D38" s="301"/>
      <c r="E38" s="301"/>
      <c r="F38" s="301"/>
      <c r="G38" s="301"/>
      <c r="H38" s="302"/>
      <c r="I38" s="22"/>
    </row>
    <row r="39" spans="1:18" x14ac:dyDescent="0.2">
      <c r="A39" s="248" t="s">
        <v>105</v>
      </c>
      <c r="B39" s="5">
        <v>88488</v>
      </c>
      <c r="C39" s="149" t="s">
        <v>109</v>
      </c>
      <c r="D39" s="16" t="s">
        <v>62</v>
      </c>
      <c r="E39" s="20">
        <v>79.540000000000006</v>
      </c>
      <c r="F39" s="29">
        <v>14.68</v>
      </c>
      <c r="G39" s="29">
        <f>F39+(F39*E4)</f>
        <v>18.135010875388538</v>
      </c>
      <c r="H39" s="249">
        <f>G39*E39</f>
        <v>1442.4587650284045</v>
      </c>
      <c r="I39" s="22"/>
      <c r="J39" t="s">
        <v>177</v>
      </c>
    </row>
    <row r="40" spans="1:18" ht="12" customHeight="1" x14ac:dyDescent="0.2">
      <c r="A40" s="300" t="s">
        <v>171</v>
      </c>
      <c r="B40" s="301"/>
      <c r="C40" s="301"/>
      <c r="D40" s="301"/>
      <c r="E40" s="301"/>
      <c r="F40" s="301"/>
      <c r="G40" s="301"/>
      <c r="H40" s="302"/>
      <c r="I40" s="22"/>
    </row>
    <row r="41" spans="1:18" ht="17.25" thickBot="1" x14ac:dyDescent="0.25">
      <c r="A41" s="246" t="s">
        <v>107</v>
      </c>
      <c r="B41" s="5">
        <v>100757</v>
      </c>
      <c r="C41" s="149" t="s">
        <v>268</v>
      </c>
      <c r="D41" s="16" t="s">
        <v>62</v>
      </c>
      <c r="E41" s="20">
        <f>1.5*3.3*2</f>
        <v>9.8999999999999986</v>
      </c>
      <c r="F41" s="27">
        <v>38.770000000000003</v>
      </c>
      <c r="G41" s="27">
        <f>F41+(F41*E4)</f>
        <v>47.89471196449685</v>
      </c>
      <c r="H41" s="247">
        <f>G41*E41</f>
        <v>474.15764844851873</v>
      </c>
      <c r="I41" s="22"/>
      <c r="J41" t="s">
        <v>178</v>
      </c>
    </row>
    <row r="42" spans="1:18" ht="13.5" thickBot="1" x14ac:dyDescent="0.25">
      <c r="A42" s="9" t="s">
        <v>79</v>
      </c>
      <c r="B42" s="10"/>
      <c r="C42" s="14" t="s">
        <v>256</v>
      </c>
      <c r="D42" s="10"/>
      <c r="E42" s="10"/>
      <c r="F42" s="10"/>
      <c r="G42" s="10"/>
      <c r="H42" s="19">
        <f>SUM(H44:H49)</f>
        <v>6851.0671538598835</v>
      </c>
      <c r="I42" s="22"/>
    </row>
    <row r="43" spans="1:18" x14ac:dyDescent="0.2">
      <c r="A43" s="300" t="s">
        <v>175</v>
      </c>
      <c r="B43" s="301"/>
      <c r="C43" s="301"/>
      <c r="D43" s="301"/>
      <c r="E43" s="301"/>
      <c r="F43" s="301"/>
      <c r="G43" s="301"/>
      <c r="H43" s="302"/>
      <c r="I43" s="22"/>
    </row>
    <row r="44" spans="1:18" x14ac:dyDescent="0.2">
      <c r="A44" s="230" t="s">
        <v>80</v>
      </c>
      <c r="B44" s="134">
        <v>94213</v>
      </c>
      <c r="C44" s="135" t="s">
        <v>269</v>
      </c>
      <c r="D44" s="138" t="s">
        <v>62</v>
      </c>
      <c r="E44" s="136">
        <f>1.5*3.5</f>
        <v>5.25</v>
      </c>
      <c r="F44" s="137">
        <v>76.23</v>
      </c>
      <c r="G44" s="27">
        <f>F44+(F44*E4)</f>
        <v>94.171108925808468</v>
      </c>
      <c r="H44" s="247">
        <f>G44*E44</f>
        <v>494.39832186049443</v>
      </c>
      <c r="I44" s="22"/>
      <c r="J44" t="s">
        <v>176</v>
      </c>
    </row>
    <row r="45" spans="1:18" ht="16.5" x14ac:dyDescent="0.2">
      <c r="A45" s="230" t="s">
        <v>81</v>
      </c>
      <c r="B45" s="134">
        <v>92580</v>
      </c>
      <c r="C45" s="135" t="s">
        <v>270</v>
      </c>
      <c r="D45" s="138" t="s">
        <v>62</v>
      </c>
      <c r="E45" s="136">
        <f>E44</f>
        <v>5.25</v>
      </c>
      <c r="F45" s="137">
        <v>54.97</v>
      </c>
      <c r="G45" s="27">
        <f>F45+(F45*E4)</f>
        <v>67.907462385565935</v>
      </c>
      <c r="H45" s="247">
        <f t="shared" ref="H45:H46" si="3">G45*E45</f>
        <v>356.51417752422117</v>
      </c>
      <c r="I45" s="22"/>
    </row>
    <row r="46" spans="1:18" ht="16.5" x14ac:dyDescent="0.2">
      <c r="A46" s="230" t="s">
        <v>82</v>
      </c>
      <c r="B46" s="134">
        <v>92255</v>
      </c>
      <c r="C46" s="135" t="s">
        <v>271</v>
      </c>
      <c r="D46" s="138" t="s">
        <v>61</v>
      </c>
      <c r="E46" s="136">
        <v>1</v>
      </c>
      <c r="F46" s="137">
        <v>149.47</v>
      </c>
      <c r="G46" s="27">
        <f>F46+(F46*E4)</f>
        <v>184.64850650846898</v>
      </c>
      <c r="H46" s="247">
        <f t="shared" si="3"/>
        <v>184.64850650846898</v>
      </c>
      <c r="I46" s="22"/>
      <c r="Q46" t="s">
        <v>241</v>
      </c>
    </row>
    <row r="47" spans="1:18" ht="15.75" customHeight="1" x14ac:dyDescent="0.2">
      <c r="A47" s="230" t="s">
        <v>83</v>
      </c>
      <c r="B47" s="134">
        <v>94231</v>
      </c>
      <c r="C47" s="135" t="s">
        <v>272</v>
      </c>
      <c r="D47" s="138" t="s">
        <v>64</v>
      </c>
      <c r="E47" s="136">
        <v>9.4</v>
      </c>
      <c r="F47" s="137">
        <v>58.76</v>
      </c>
      <c r="G47" s="27">
        <f>F47+(F47*E4)</f>
        <v>72.589457700124697</v>
      </c>
      <c r="H47" s="247">
        <f t="shared" ref="H47" si="4">G47*E47</f>
        <v>682.34090238117221</v>
      </c>
      <c r="I47" s="22"/>
      <c r="Q47" t="s">
        <v>242</v>
      </c>
      <c r="R47" t="s">
        <v>243</v>
      </c>
    </row>
    <row r="48" spans="1:18" x14ac:dyDescent="0.2">
      <c r="A48" s="300" t="s">
        <v>248</v>
      </c>
      <c r="B48" s="301"/>
      <c r="C48" s="301"/>
      <c r="D48" s="301"/>
      <c r="E48" s="301"/>
      <c r="F48" s="301"/>
      <c r="G48" s="301"/>
      <c r="H48" s="302"/>
      <c r="I48" s="22"/>
    </row>
    <row r="49" spans="1:19" ht="13.5" thickBot="1" x14ac:dyDescent="0.25">
      <c r="A49" s="183" t="s">
        <v>279</v>
      </c>
      <c r="B49" s="5" t="s">
        <v>253</v>
      </c>
      <c r="C49" s="135" t="s">
        <v>200</v>
      </c>
      <c r="D49" s="138" t="s">
        <v>108</v>
      </c>
      <c r="E49" s="181">
        <v>1</v>
      </c>
      <c r="F49" s="21">
        <f>'COMPOSIÇÃO IV'!F21</f>
        <v>4155.2148119999993</v>
      </c>
      <c r="G49" s="139">
        <f>F49+(F49*E4)</f>
        <v>5133.1652455855265</v>
      </c>
      <c r="H49" s="250">
        <f t="shared" ref="H49" si="5">E49*G49</f>
        <v>5133.1652455855265</v>
      </c>
      <c r="I49" s="22"/>
    </row>
    <row r="50" spans="1:19" ht="13.5" thickBot="1" x14ac:dyDescent="0.25">
      <c r="A50" s="9" t="s">
        <v>84</v>
      </c>
      <c r="B50" s="10"/>
      <c r="C50" s="14" t="s">
        <v>174</v>
      </c>
      <c r="D50" s="188"/>
      <c r="E50" s="10"/>
      <c r="F50" s="10"/>
      <c r="G50" s="10"/>
      <c r="H50" s="19">
        <f>SUM(H51)</f>
        <v>7465.804970494426</v>
      </c>
      <c r="I50" s="22"/>
      <c r="Q50">
        <v>6.6</v>
      </c>
      <c r="R50">
        <v>2.5</v>
      </c>
    </row>
    <row r="51" spans="1:19" ht="13.5" thickBot="1" x14ac:dyDescent="0.25">
      <c r="A51" s="251" t="s">
        <v>85</v>
      </c>
      <c r="B51" s="184">
        <v>96110</v>
      </c>
      <c r="C51" s="185" t="s">
        <v>273</v>
      </c>
      <c r="D51" s="186" t="s">
        <v>62</v>
      </c>
      <c r="E51" s="187">
        <f>E39</f>
        <v>79.540000000000006</v>
      </c>
      <c r="F51" s="139">
        <v>75.98</v>
      </c>
      <c r="G51" s="139">
        <f>F51+(F51*E4)</f>
        <v>93.862270184742584</v>
      </c>
      <c r="H51" s="250">
        <f>E51*G51</f>
        <v>7465.804970494426</v>
      </c>
      <c r="I51" s="22"/>
      <c r="Q51">
        <v>0.15</v>
      </c>
      <c r="R51">
        <v>0.1</v>
      </c>
    </row>
    <row r="52" spans="1:19" ht="13.5" thickBot="1" x14ac:dyDescent="0.25">
      <c r="A52" s="9" t="s">
        <v>86</v>
      </c>
      <c r="B52" s="10"/>
      <c r="C52" s="14" t="s">
        <v>172</v>
      </c>
      <c r="D52" s="188"/>
      <c r="E52" s="10"/>
      <c r="F52" s="10"/>
      <c r="G52" s="10"/>
      <c r="H52" s="19">
        <f>SUM(H53:H55)</f>
        <v>16847.525475826798</v>
      </c>
      <c r="I52" s="22"/>
      <c r="Q52">
        <v>0.45</v>
      </c>
      <c r="R52">
        <v>0.3</v>
      </c>
    </row>
    <row r="53" spans="1:19" ht="16.5" x14ac:dyDescent="0.2">
      <c r="A53" s="252" t="s">
        <v>87</v>
      </c>
      <c r="B53" s="184">
        <v>103351</v>
      </c>
      <c r="C53" s="185" t="s">
        <v>274</v>
      </c>
      <c r="D53" s="186" t="s">
        <v>62</v>
      </c>
      <c r="E53" s="187">
        <f>K53</f>
        <v>25.864999999999998</v>
      </c>
      <c r="F53" s="139">
        <v>164.65</v>
      </c>
      <c r="G53" s="139">
        <f>F53+(F53*E4)</f>
        <v>203.40119486598931</v>
      </c>
      <c r="H53" s="250">
        <f>E53*G53</f>
        <v>5260.971905208813</v>
      </c>
      <c r="I53" s="22"/>
      <c r="K53" s="173">
        <f>(1.9*5.15)+(3.2*3.55)+(1.6*1.9)+(0.8*2.1)</f>
        <v>25.864999999999998</v>
      </c>
      <c r="Q53">
        <f>(2*Q51+2*Q52)*Q50</f>
        <v>7.919999999999999</v>
      </c>
      <c r="R53">
        <f>(2*R51+2*R52)*R50</f>
        <v>2</v>
      </c>
    </row>
    <row r="54" spans="1:19" ht="16.5" x14ac:dyDescent="0.2">
      <c r="A54" s="252" t="s">
        <v>88</v>
      </c>
      <c r="B54" s="179">
        <v>87894</v>
      </c>
      <c r="C54" s="175" t="s">
        <v>275</v>
      </c>
      <c r="D54" s="176" t="s">
        <v>62</v>
      </c>
      <c r="E54" s="177">
        <f>E53*2</f>
        <v>51.73</v>
      </c>
      <c r="F54" s="229">
        <v>5.84</v>
      </c>
      <c r="G54" s="139">
        <f>F54+(F54*E4)</f>
        <v>7.2144729912989822</v>
      </c>
      <c r="H54" s="250">
        <f t="shared" ref="H54:H58" si="6">E54*G54</f>
        <v>373.20468783989634</v>
      </c>
      <c r="I54" s="22"/>
      <c r="Q54">
        <v>1</v>
      </c>
      <c r="R54">
        <v>16</v>
      </c>
    </row>
    <row r="55" spans="1:19" ht="17.25" thickBot="1" x14ac:dyDescent="0.25">
      <c r="A55" s="252" t="s">
        <v>99</v>
      </c>
      <c r="B55" s="179">
        <v>87777</v>
      </c>
      <c r="C55" s="175" t="s">
        <v>276</v>
      </c>
      <c r="D55" s="176" t="s">
        <v>62</v>
      </c>
      <c r="E55" s="177">
        <f>E33</f>
        <v>168.53</v>
      </c>
      <c r="F55" s="229">
        <v>53.86</v>
      </c>
      <c r="G55" s="139">
        <f>F55+(F55*E4)</f>
        <v>66.536218375233432</v>
      </c>
      <c r="H55" s="250">
        <f t="shared" si="6"/>
        <v>11213.348882778091</v>
      </c>
      <c r="I55" s="22"/>
      <c r="Q55">
        <f>Q53*Q54</f>
        <v>7.919999999999999</v>
      </c>
      <c r="R55">
        <f>R53*R54</f>
        <v>32</v>
      </c>
      <c r="S55">
        <f>Q55+R55</f>
        <v>39.92</v>
      </c>
    </row>
    <row r="56" spans="1:19" ht="12.75" customHeight="1" thickBot="1" x14ac:dyDescent="0.25">
      <c r="A56" s="180" t="s">
        <v>186</v>
      </c>
      <c r="B56" s="10"/>
      <c r="C56" s="14" t="s">
        <v>185</v>
      </c>
      <c r="D56" s="10"/>
      <c r="E56" s="10"/>
      <c r="F56" s="10"/>
      <c r="G56" s="10"/>
      <c r="H56" s="19">
        <f>SUM(H57:H58)</f>
        <v>1852.4197103330121</v>
      </c>
      <c r="I56" s="22"/>
    </row>
    <row r="57" spans="1:19" x14ac:dyDescent="0.2">
      <c r="A57" s="148" t="s">
        <v>191</v>
      </c>
      <c r="B57" s="134">
        <v>98516</v>
      </c>
      <c r="C57" s="135" t="s">
        <v>277</v>
      </c>
      <c r="D57" s="138" t="s">
        <v>108</v>
      </c>
      <c r="E57" s="181">
        <v>4</v>
      </c>
      <c r="F57" s="182">
        <v>345.47</v>
      </c>
      <c r="G57" s="139">
        <f>F57+(F57*E4)</f>
        <v>426.77807950411983</v>
      </c>
      <c r="H57" s="250">
        <f t="shared" si="6"/>
        <v>1707.1123180164793</v>
      </c>
      <c r="I57" s="22"/>
      <c r="J57" s="173"/>
    </row>
    <row r="58" spans="1:19" ht="13.5" thickBot="1" x14ac:dyDescent="0.25">
      <c r="A58" s="253" t="s">
        <v>192</v>
      </c>
      <c r="B58" s="254">
        <v>98504</v>
      </c>
      <c r="C58" s="255" t="s">
        <v>278</v>
      </c>
      <c r="D58" s="256" t="s">
        <v>62</v>
      </c>
      <c r="E58" s="257">
        <v>8.6999999999999993</v>
      </c>
      <c r="F58" s="258">
        <v>13.52</v>
      </c>
      <c r="G58" s="259">
        <f>F58+(F58*E4)</f>
        <v>16.701999116842849</v>
      </c>
      <c r="H58" s="260">
        <f t="shared" si="6"/>
        <v>145.30739231653277</v>
      </c>
      <c r="I58" s="22"/>
      <c r="J58" s="173"/>
    </row>
    <row r="59" spans="1:19" ht="13.5" thickBot="1" x14ac:dyDescent="0.25">
      <c r="A59" s="1"/>
      <c r="B59" s="1"/>
      <c r="C59" s="1"/>
      <c r="D59" s="1"/>
      <c r="E59" s="1"/>
      <c r="F59" s="1"/>
    </row>
    <row r="60" spans="1:19" ht="13.5" thickBot="1" x14ac:dyDescent="0.25">
      <c r="A60" s="1"/>
      <c r="B60" s="1"/>
      <c r="C60" s="1"/>
      <c r="D60" s="1"/>
      <c r="E60" s="1"/>
      <c r="F60" s="1"/>
      <c r="G60" s="303">
        <f>H12+H14+H21+H23+H26+H42+H50+H52+H56</f>
        <v>74949.481453904606</v>
      </c>
      <c r="H60" s="304"/>
    </row>
    <row r="61" spans="1:19" x14ac:dyDescent="0.2">
      <c r="A61" s="1"/>
      <c r="B61" s="1"/>
      <c r="C61" s="1"/>
      <c r="D61" s="1"/>
      <c r="E61" s="1"/>
      <c r="F61" s="1"/>
      <c r="G61" s="1"/>
      <c r="H61" s="1"/>
    </row>
    <row r="62" spans="1:19" x14ac:dyDescent="0.2">
      <c r="A62" s="1"/>
      <c r="B62" s="1"/>
      <c r="C62" s="1"/>
      <c r="D62" s="1"/>
      <c r="E62" s="1"/>
      <c r="F62" s="1"/>
    </row>
    <row r="63" spans="1:19" x14ac:dyDescent="0.2">
      <c r="A63" s="1"/>
      <c r="B63" s="1"/>
      <c r="C63" s="1"/>
      <c r="D63" s="1"/>
      <c r="E63" s="1"/>
      <c r="F63" s="1"/>
      <c r="G63" s="1"/>
      <c r="H63" s="1"/>
    </row>
    <row r="64" spans="1:19" x14ac:dyDescent="0.2">
      <c r="E64" s="33"/>
      <c r="F64" s="33"/>
      <c r="G64" s="33"/>
      <c r="H64" s="33"/>
      <c r="J64" s="6"/>
    </row>
    <row r="66" spans="4:21" x14ac:dyDescent="0.2">
      <c r="R66" t="s">
        <v>150</v>
      </c>
      <c r="S66">
        <v>25</v>
      </c>
      <c r="T66">
        <v>12.5</v>
      </c>
      <c r="U66">
        <f>S66*T66</f>
        <v>312.5</v>
      </c>
    </row>
    <row r="68" spans="4:21" x14ac:dyDescent="0.2">
      <c r="D68" s="36"/>
      <c r="E68" s="36"/>
      <c r="F68" s="36"/>
      <c r="G68" s="36"/>
      <c r="H68" s="36"/>
    </row>
    <row r="69" spans="4:21" x14ac:dyDescent="0.2">
      <c r="D69" s="38"/>
      <c r="U69" t="e">
        <f>U66*#REF!</f>
        <v>#REF!</v>
      </c>
    </row>
    <row r="70" spans="4:21" x14ac:dyDescent="0.2">
      <c r="D70" s="37"/>
    </row>
    <row r="71" spans="4:21" x14ac:dyDescent="0.2">
      <c r="E71" s="36"/>
      <c r="F71" s="36"/>
      <c r="G71" s="36"/>
      <c r="H71" s="36"/>
    </row>
    <row r="72" spans="4:21" x14ac:dyDescent="0.2">
      <c r="E72" s="214"/>
      <c r="F72" s="214"/>
      <c r="G72" s="214"/>
      <c r="H72" s="214"/>
    </row>
    <row r="73" spans="4:21" x14ac:dyDescent="0.2">
      <c r="E73" s="215"/>
      <c r="F73" s="215"/>
      <c r="G73" s="215"/>
      <c r="H73" s="215"/>
    </row>
    <row r="74" spans="4:21" x14ac:dyDescent="0.2">
      <c r="S74" s="6"/>
      <c r="U74">
        <f>SUM(N56:N58)</f>
        <v>0</v>
      </c>
    </row>
    <row r="75" spans="4:21" x14ac:dyDescent="0.2">
      <c r="R75" t="s">
        <v>151</v>
      </c>
      <c r="S75">
        <f>S66*2+T66*2</f>
        <v>75</v>
      </c>
      <c r="T75">
        <v>0.3</v>
      </c>
      <c r="U75">
        <f>S75*T75</f>
        <v>22.5</v>
      </c>
    </row>
    <row r="80" spans="4:21" x14ac:dyDescent="0.2">
      <c r="M80" t="s">
        <v>245</v>
      </c>
      <c r="N80">
        <f>0.8*2.1*13</f>
        <v>21.840000000000003</v>
      </c>
    </row>
    <row r="85" spans="13:13" x14ac:dyDescent="0.2">
      <c r="M85">
        <v>20.8</v>
      </c>
    </row>
    <row r="86" spans="13:13" x14ac:dyDescent="0.2">
      <c r="M86">
        <v>13</v>
      </c>
    </row>
    <row r="87" spans="13:13" x14ac:dyDescent="0.2">
      <c r="M87">
        <v>14</v>
      </c>
    </row>
    <row r="88" spans="13:13" x14ac:dyDescent="0.2">
      <c r="M88">
        <v>13</v>
      </c>
    </row>
    <row r="89" spans="13:13" x14ac:dyDescent="0.2">
      <c r="M89">
        <v>15</v>
      </c>
    </row>
    <row r="90" spans="13:13" x14ac:dyDescent="0.2">
      <c r="M90">
        <v>34.5</v>
      </c>
    </row>
    <row r="91" spans="13:13" x14ac:dyDescent="0.2">
      <c r="M91">
        <v>11.3</v>
      </c>
    </row>
    <row r="92" spans="13:13" x14ac:dyDescent="0.2">
      <c r="M92">
        <v>28.5</v>
      </c>
    </row>
    <row r="93" spans="13:13" x14ac:dyDescent="0.2">
      <c r="M93">
        <v>46.1</v>
      </c>
    </row>
    <row r="94" spans="13:13" x14ac:dyDescent="0.2">
      <c r="M94">
        <v>12.6</v>
      </c>
    </row>
    <row r="95" spans="13:13" x14ac:dyDescent="0.2">
      <c r="M95">
        <v>7.7</v>
      </c>
    </row>
    <row r="96" spans="13:13" x14ac:dyDescent="0.2">
      <c r="M96">
        <v>8.9</v>
      </c>
    </row>
    <row r="98" spans="13:13" x14ac:dyDescent="0.2">
      <c r="M98">
        <f>SUM(M85:M96)</f>
        <v>225.39999999999998</v>
      </c>
    </row>
    <row r="99" spans="13:13" x14ac:dyDescent="0.2">
      <c r="M99">
        <f>M98*2.7</f>
        <v>608.57999999999993</v>
      </c>
    </row>
  </sheetData>
  <mergeCells count="22">
    <mergeCell ref="A15:H15"/>
    <mergeCell ref="A17:H17"/>
    <mergeCell ref="A1:H1"/>
    <mergeCell ref="A2:B4"/>
    <mergeCell ref="D2:F2"/>
    <mergeCell ref="G2:H4"/>
    <mergeCell ref="D3:F3"/>
    <mergeCell ref="E4:F4"/>
    <mergeCell ref="C2:C4"/>
    <mergeCell ref="A10:H11"/>
    <mergeCell ref="A5:H5"/>
    <mergeCell ref="A8:H8"/>
    <mergeCell ref="B6:G6"/>
    <mergeCell ref="B7:G7"/>
    <mergeCell ref="A27:H27"/>
    <mergeCell ref="A35:H35"/>
    <mergeCell ref="A38:H38"/>
    <mergeCell ref="G60:H60"/>
    <mergeCell ref="A43:H43"/>
    <mergeCell ref="A40:H40"/>
    <mergeCell ref="A31:H31"/>
    <mergeCell ref="A48:H48"/>
  </mergeCells>
  <phoneticPr fontId="25" type="noConversion"/>
  <pageMargins left="0.25" right="0.25" top="0.75" bottom="0.75" header="0.3" footer="0.3"/>
  <pageSetup paperSize="9" scale="2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zoomScale="115" zoomScaleNormal="115" workbookViewId="0">
      <selection activeCell="K31" sqref="K31"/>
    </sheetView>
  </sheetViews>
  <sheetFormatPr defaultRowHeight="12.75" x14ac:dyDescent="0.2"/>
  <cols>
    <col min="1" max="1" width="6.83203125" style="47" customWidth="1"/>
    <col min="2" max="2" width="11.33203125" style="47" customWidth="1"/>
    <col min="3" max="3" width="57.5" style="47" customWidth="1"/>
    <col min="4" max="4" width="7.33203125" style="47" customWidth="1"/>
    <col min="5" max="5" width="7.83203125" style="47" customWidth="1"/>
    <col min="6" max="6" width="8" style="47" customWidth="1"/>
    <col min="7" max="7" width="6.33203125" style="47" bestFit="1" customWidth="1"/>
    <col min="8" max="8" width="12.6640625" style="47" bestFit="1" customWidth="1"/>
    <col min="9" max="9" width="9.33203125" style="47"/>
    <col min="10" max="10" width="14.5" style="47" bestFit="1" customWidth="1"/>
    <col min="11" max="11" width="9.33203125" style="47"/>
    <col min="12" max="12" width="14.33203125" style="47" bestFit="1" customWidth="1"/>
    <col min="13" max="16384" width="9.33203125" style="47"/>
  </cols>
  <sheetData>
    <row r="1" spans="1:12" ht="13.5" thickBot="1" x14ac:dyDescent="0.25">
      <c r="A1" s="333"/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</row>
    <row r="2" spans="1:12" ht="24.95" customHeight="1" x14ac:dyDescent="0.2">
      <c r="A2" s="335"/>
      <c r="B2" s="336"/>
      <c r="C2" s="339" t="s">
        <v>98</v>
      </c>
      <c r="D2" s="340"/>
      <c r="E2" s="340"/>
      <c r="F2" s="340"/>
      <c r="G2" s="340"/>
      <c r="H2" s="340"/>
      <c r="I2" s="343" t="s">
        <v>188</v>
      </c>
      <c r="J2" s="344"/>
      <c r="K2" s="345"/>
      <c r="L2" s="346"/>
    </row>
    <row r="3" spans="1:12" ht="13.7" customHeight="1" x14ac:dyDescent="0.2">
      <c r="A3" s="337"/>
      <c r="B3" s="338"/>
      <c r="C3" s="339"/>
      <c r="D3" s="340"/>
      <c r="E3" s="340"/>
      <c r="F3" s="340"/>
      <c r="G3" s="340"/>
      <c r="H3" s="340"/>
      <c r="I3" s="349" t="s">
        <v>1</v>
      </c>
      <c r="J3" s="350"/>
      <c r="K3" s="347"/>
      <c r="L3" s="348"/>
    </row>
    <row r="4" spans="1:12" ht="13.5" thickBot="1" x14ac:dyDescent="0.25">
      <c r="A4" s="337"/>
      <c r="B4" s="338"/>
      <c r="C4" s="341"/>
      <c r="D4" s="342"/>
      <c r="E4" s="342"/>
      <c r="F4" s="342"/>
      <c r="G4" s="342"/>
      <c r="H4" s="342"/>
      <c r="I4" s="48" t="s">
        <v>2</v>
      </c>
      <c r="J4" s="101">
        <f>BDI!E4</f>
        <v>0.23535496426352442</v>
      </c>
      <c r="K4" s="347"/>
      <c r="L4" s="348"/>
    </row>
    <row r="5" spans="1:12" ht="13.5" thickBot="1" x14ac:dyDescent="0.25">
      <c r="A5" s="351" t="s">
        <v>122</v>
      </c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3"/>
    </row>
    <row r="6" spans="1:12" ht="14.25" customHeight="1" x14ac:dyDescent="0.2">
      <c r="A6" s="102" t="s">
        <v>3</v>
      </c>
      <c r="B6" s="354" t="s">
        <v>183</v>
      </c>
      <c r="C6" s="355"/>
      <c r="D6" s="355"/>
      <c r="E6" s="355"/>
      <c r="F6" s="355"/>
      <c r="G6" s="355"/>
      <c r="H6" s="355"/>
      <c r="I6" s="355"/>
      <c r="J6" s="355"/>
      <c r="K6" s="356"/>
      <c r="L6" s="103" t="s">
        <v>111</v>
      </c>
    </row>
    <row r="7" spans="1:12" ht="13.5" thickBot="1" x14ac:dyDescent="0.25">
      <c r="A7" s="104" t="s">
        <v>89</v>
      </c>
      <c r="B7" s="357" t="s">
        <v>180</v>
      </c>
      <c r="C7" s="358"/>
      <c r="D7" s="358"/>
      <c r="E7" s="358"/>
      <c r="F7" s="358"/>
      <c r="G7" s="358"/>
      <c r="H7" s="358"/>
      <c r="I7" s="358"/>
      <c r="J7" s="358"/>
      <c r="K7" s="359"/>
      <c r="L7" s="105">
        <f ca="1">TODAY()</f>
        <v>44680</v>
      </c>
    </row>
    <row r="8" spans="1:12" ht="13.5" thickBot="1" x14ac:dyDescent="0.25">
      <c r="A8" s="360" t="s">
        <v>113</v>
      </c>
      <c r="B8" s="361"/>
      <c r="C8" s="361"/>
      <c r="D8" s="361"/>
      <c r="E8" s="361"/>
      <c r="F8" s="361"/>
      <c r="G8" s="361"/>
      <c r="H8" s="361"/>
      <c r="I8" s="361"/>
      <c r="J8" s="361"/>
      <c r="K8" s="361"/>
      <c r="L8" s="361"/>
    </row>
    <row r="9" spans="1:12" ht="13.5" thickBot="1" x14ac:dyDescent="0.25">
      <c r="A9" s="362" t="s">
        <v>96</v>
      </c>
      <c r="B9" s="363"/>
      <c r="C9" s="363"/>
      <c r="D9" s="363"/>
      <c r="E9" s="363"/>
      <c r="F9" s="364"/>
      <c r="G9" s="106" t="s">
        <v>92</v>
      </c>
      <c r="H9" s="107"/>
      <c r="I9" s="106" t="s">
        <v>92</v>
      </c>
      <c r="J9" s="107"/>
      <c r="K9" s="106" t="s">
        <v>92</v>
      </c>
      <c r="L9" s="107" t="s">
        <v>91</v>
      </c>
    </row>
    <row r="10" spans="1:12" x14ac:dyDescent="0.15">
      <c r="A10" s="108">
        <f>'[2]RESUMO ORÇAMENTO'!A9</f>
        <v>1</v>
      </c>
      <c r="B10" s="321" t="str">
        <f>'PLANILHA ORÇAMENTÁRIA '!C12</f>
        <v>ADMINISTRAÇÃO DE OBRA</v>
      </c>
      <c r="C10" s="322"/>
      <c r="D10" s="109">
        <f>E10/E19</f>
        <v>4.0857484804592503E-2</v>
      </c>
      <c r="E10" s="323">
        <f>'PLANILHA ORÇAMENTÁRIA '!H12</f>
        <v>3062.247299614995</v>
      </c>
      <c r="F10" s="324"/>
      <c r="G10" s="42">
        <v>0</v>
      </c>
      <c r="H10" s="41">
        <f>G10*E10</f>
        <v>0</v>
      </c>
      <c r="I10" s="42">
        <v>0</v>
      </c>
      <c r="J10" s="41">
        <f t="shared" ref="J10:J18" si="0">I10*E10</f>
        <v>0</v>
      </c>
      <c r="K10" s="42">
        <v>1</v>
      </c>
      <c r="L10" s="41">
        <f t="shared" ref="L10:L18" si="1">K10*E10</f>
        <v>3062.247299614995</v>
      </c>
    </row>
    <row r="11" spans="1:12" ht="12.75" customHeight="1" x14ac:dyDescent="0.15">
      <c r="A11" s="108">
        <f>'[2]RESUMO ORÇAMENTO'!A10</f>
        <v>2</v>
      </c>
      <c r="B11" s="321" t="str">
        <f>'PLANILHA ORÇAMENTÁRIA '!C14</f>
        <v>SERVIÇOS PRELIMINARES</v>
      </c>
      <c r="C11" s="322"/>
      <c r="D11" s="109">
        <f>E11/E19</f>
        <v>2.3521930075668086E-2</v>
      </c>
      <c r="E11" s="323">
        <f>'PLANILHA ORÇAMENTÁRIA '!H14</f>
        <v>1762.9564619663263</v>
      </c>
      <c r="F11" s="324"/>
      <c r="G11" s="43">
        <v>0</v>
      </c>
      <c r="H11" s="41">
        <f t="shared" ref="H11:H18" si="2">G11*E11</f>
        <v>0</v>
      </c>
      <c r="I11" s="43">
        <v>0</v>
      </c>
      <c r="J11" s="41">
        <f t="shared" si="0"/>
        <v>0</v>
      </c>
      <c r="K11" s="43">
        <v>1</v>
      </c>
      <c r="L11" s="41">
        <f t="shared" si="1"/>
        <v>1762.9564619663263</v>
      </c>
    </row>
    <row r="12" spans="1:12" x14ac:dyDescent="0.15">
      <c r="A12" s="108">
        <f>'[2]RESUMO ORÇAMENTO'!A11</f>
        <v>3</v>
      </c>
      <c r="B12" s="321" t="str">
        <f>'PLANILHA ORÇAMENTÁRIA '!C21</f>
        <v xml:space="preserve">ESQUADRIAS </v>
      </c>
      <c r="C12" s="322"/>
      <c r="D12" s="110">
        <f>E12/E19</f>
        <v>6.3202070805613089E-2</v>
      </c>
      <c r="E12" s="323">
        <f>'PLANILHA ORÇAMENTÁRIA '!H21</f>
        <v>4736.962433693664</v>
      </c>
      <c r="F12" s="324"/>
      <c r="G12" s="43">
        <v>0</v>
      </c>
      <c r="H12" s="41">
        <f t="shared" si="2"/>
        <v>0</v>
      </c>
      <c r="I12" s="43">
        <v>0</v>
      </c>
      <c r="J12" s="41">
        <f t="shared" si="0"/>
        <v>0</v>
      </c>
      <c r="K12" s="43">
        <v>1</v>
      </c>
      <c r="L12" s="41">
        <f t="shared" si="1"/>
        <v>4736.962433693664</v>
      </c>
    </row>
    <row r="13" spans="1:12" x14ac:dyDescent="0.15">
      <c r="A13" s="108">
        <f>'[2]RESUMO ORÇAMENTO'!A12</f>
        <v>4</v>
      </c>
      <c r="B13" s="321" t="str">
        <f>'PLANILHA ORÇAMENTÁRIA '!C23</f>
        <v xml:space="preserve">PISOS E CALÇAMENTOS </v>
      </c>
      <c r="C13" s="322"/>
      <c r="D13" s="109">
        <f>E13/E19</f>
        <v>8.36529449223994E-2</v>
      </c>
      <c r="E13" s="323">
        <f>'PLANILHA ORÇAMENTÁRIA '!H23</f>
        <v>6269.7448440258768</v>
      </c>
      <c r="F13" s="324"/>
      <c r="G13" s="43">
        <v>0</v>
      </c>
      <c r="H13" s="41">
        <f t="shared" si="2"/>
        <v>0</v>
      </c>
      <c r="I13" s="43">
        <v>0</v>
      </c>
      <c r="J13" s="41">
        <f t="shared" si="0"/>
        <v>0</v>
      </c>
      <c r="K13" s="43">
        <v>1</v>
      </c>
      <c r="L13" s="41">
        <f t="shared" si="1"/>
        <v>6269.7448440258768</v>
      </c>
    </row>
    <row r="14" spans="1:12" x14ac:dyDescent="0.15">
      <c r="A14" s="108">
        <f>'[2]RESUMO ORÇAMENTO'!A13</f>
        <v>5</v>
      </c>
      <c r="B14" s="321" t="str">
        <f>'PLANILHA ORÇAMENTÁRIA '!C26</f>
        <v>PINTURAS</v>
      </c>
      <c r="C14" s="322"/>
      <c r="D14" s="109">
        <f>E14/E19</f>
        <v>0.34824461220778558</v>
      </c>
      <c r="E14" s="323">
        <f>'PLANILHA ORÇAMENTÁRIA '!H26</f>
        <v>26100.753104089628</v>
      </c>
      <c r="F14" s="324"/>
      <c r="G14" s="42">
        <v>0</v>
      </c>
      <c r="H14" s="41">
        <f t="shared" si="2"/>
        <v>0</v>
      </c>
      <c r="I14" s="42">
        <v>0</v>
      </c>
      <c r="J14" s="41">
        <f t="shared" si="0"/>
        <v>0</v>
      </c>
      <c r="K14" s="42">
        <v>1</v>
      </c>
      <c r="L14" s="41">
        <f t="shared" si="1"/>
        <v>26100.753104089628</v>
      </c>
    </row>
    <row r="15" spans="1:12" x14ac:dyDescent="0.15">
      <c r="A15" s="108">
        <f>'[2]RESUMO ORÇAMENTO'!A14</f>
        <v>6</v>
      </c>
      <c r="B15" s="321" t="str">
        <f>'PLANILHA ORÇAMENTÁRIA '!C42</f>
        <v>COBERTURAS, PERGOLAS, RUFOS E PINGADEIRAS</v>
      </c>
      <c r="C15" s="322"/>
      <c r="D15" s="110">
        <f>E15/E19</f>
        <v>9.1409133471769557E-2</v>
      </c>
      <c r="E15" s="323">
        <f>'PLANILHA ORÇAMENTÁRIA '!H42</f>
        <v>6851.0671538598835</v>
      </c>
      <c r="F15" s="324"/>
      <c r="G15" s="43">
        <v>0</v>
      </c>
      <c r="H15" s="41">
        <f t="shared" si="2"/>
        <v>0</v>
      </c>
      <c r="I15" s="43">
        <v>0</v>
      </c>
      <c r="J15" s="41">
        <f t="shared" si="0"/>
        <v>0</v>
      </c>
      <c r="K15" s="43">
        <v>1</v>
      </c>
      <c r="L15" s="41">
        <f t="shared" si="1"/>
        <v>6851.0671538598835</v>
      </c>
    </row>
    <row r="16" spans="1:12" x14ac:dyDescent="0.15">
      <c r="A16" s="108">
        <f>'[2]RESUMO ORÇAMENTO'!A15</f>
        <v>7</v>
      </c>
      <c r="B16" s="321" t="str">
        <f>'PLANILHA ORÇAMENTÁRIA '!C50</f>
        <v>GESSO</v>
      </c>
      <c r="C16" s="322"/>
      <c r="D16" s="109">
        <f>E16/E19</f>
        <v>9.9611162421264277E-2</v>
      </c>
      <c r="E16" s="323">
        <f>'PLANILHA ORÇAMENTÁRIA '!H50</f>
        <v>7465.804970494426</v>
      </c>
      <c r="F16" s="324"/>
      <c r="G16" s="43">
        <v>0</v>
      </c>
      <c r="H16" s="41">
        <f t="shared" si="2"/>
        <v>0</v>
      </c>
      <c r="I16" s="43">
        <v>0</v>
      </c>
      <c r="J16" s="41">
        <f t="shared" si="0"/>
        <v>0</v>
      </c>
      <c r="K16" s="43">
        <v>1</v>
      </c>
      <c r="L16" s="41">
        <f t="shared" si="1"/>
        <v>7465.804970494426</v>
      </c>
    </row>
    <row r="17" spans="1:12" ht="13.5" customHeight="1" x14ac:dyDescent="0.15">
      <c r="A17" s="108">
        <f>'[2]RESUMO ORÇAMENTO'!A16</f>
        <v>8</v>
      </c>
      <c r="B17" s="321" t="str">
        <f>'PLANILHA ORÇAMENTÁRIA '!C52</f>
        <v>ALVENARIAS</v>
      </c>
      <c r="C17" s="322"/>
      <c r="D17" s="109">
        <f>E17/E19</f>
        <v>0.22478508388598198</v>
      </c>
      <c r="E17" s="323">
        <f>'PLANILHA ORÇAMENTÁRIA '!H52</f>
        <v>16847.525475826798</v>
      </c>
      <c r="F17" s="324"/>
      <c r="G17" s="43">
        <v>0</v>
      </c>
      <c r="H17" s="41">
        <f t="shared" si="2"/>
        <v>0</v>
      </c>
      <c r="I17" s="43">
        <v>0</v>
      </c>
      <c r="J17" s="41">
        <f t="shared" si="0"/>
        <v>0</v>
      </c>
      <c r="K17" s="43">
        <v>1</v>
      </c>
      <c r="L17" s="41">
        <f t="shared" si="1"/>
        <v>16847.525475826798</v>
      </c>
    </row>
    <row r="18" spans="1:12" ht="13.5" customHeight="1" thickBot="1" x14ac:dyDescent="0.2">
      <c r="A18" s="108">
        <f>'[2]RESUMO ORÇAMENTO'!A17</f>
        <v>9</v>
      </c>
      <c r="B18" s="321" t="str">
        <f>'PLANILHA ORÇAMENTÁRIA '!C56</f>
        <v>PAISAGISMO</v>
      </c>
      <c r="C18" s="322"/>
      <c r="D18" s="109">
        <f>E18/E19</f>
        <v>2.4715577404925561E-2</v>
      </c>
      <c r="E18" s="323">
        <f>'PLANILHA ORÇAMENTÁRIA '!H56</f>
        <v>1852.4197103330121</v>
      </c>
      <c r="F18" s="324"/>
      <c r="G18" s="43">
        <v>0</v>
      </c>
      <c r="H18" s="41">
        <f t="shared" si="2"/>
        <v>0</v>
      </c>
      <c r="I18" s="43">
        <v>0</v>
      </c>
      <c r="J18" s="41">
        <f t="shared" si="0"/>
        <v>0</v>
      </c>
      <c r="K18" s="43">
        <v>1</v>
      </c>
      <c r="L18" s="41">
        <f t="shared" si="1"/>
        <v>1852.4197103330121</v>
      </c>
    </row>
    <row r="19" spans="1:12" ht="13.5" thickBot="1" x14ac:dyDescent="0.2">
      <c r="A19" s="328" t="s">
        <v>95</v>
      </c>
      <c r="B19" s="329"/>
      <c r="C19" s="330"/>
      <c r="D19" s="111">
        <f>SUM(D10:D18)</f>
        <v>1</v>
      </c>
      <c r="E19" s="331">
        <f>SUM(E10:F18)</f>
        <v>74949.481453904606</v>
      </c>
      <c r="F19" s="332"/>
      <c r="G19" s="112">
        <f>H19/E19</f>
        <v>0</v>
      </c>
      <c r="H19" s="113">
        <f>SUM(H10:H18)</f>
        <v>0</v>
      </c>
      <c r="I19" s="112">
        <f>J19/E19</f>
        <v>0</v>
      </c>
      <c r="J19" s="113">
        <f>SUM(J10:J18)</f>
        <v>0</v>
      </c>
      <c r="K19" s="112">
        <f>L19/E19</f>
        <v>1</v>
      </c>
      <c r="L19" s="113">
        <f>SUM(L10:L18)</f>
        <v>74949.481453904606</v>
      </c>
    </row>
    <row r="20" spans="1:12" ht="13.5" thickBot="1" x14ac:dyDescent="0.2">
      <c r="A20" s="325" t="s">
        <v>94</v>
      </c>
      <c r="B20" s="326"/>
      <c r="C20" s="326"/>
      <c r="D20" s="326"/>
      <c r="E20" s="326"/>
      <c r="F20" s="327"/>
      <c r="G20" s="114">
        <f>H20/E19</f>
        <v>0</v>
      </c>
      <c r="H20" s="115">
        <f>H19</f>
        <v>0</v>
      </c>
      <c r="I20" s="114">
        <f>J20/E19</f>
        <v>0</v>
      </c>
      <c r="J20" s="115">
        <f>J19+H20</f>
        <v>0</v>
      </c>
      <c r="K20" s="114">
        <f>L20/E19</f>
        <v>1</v>
      </c>
      <c r="L20" s="115">
        <f>L19+J20</f>
        <v>74949.481453904606</v>
      </c>
    </row>
    <row r="21" spans="1:12" ht="12.75" customHeight="1" x14ac:dyDescent="0.2">
      <c r="A21" s="116"/>
      <c r="B21" s="117"/>
      <c r="C21" s="118"/>
      <c r="D21" s="119"/>
      <c r="E21" s="120"/>
      <c r="F21" s="40"/>
      <c r="G21" s="40"/>
      <c r="H21" s="40"/>
      <c r="I21" s="121"/>
    </row>
    <row r="22" spans="1:12" x14ac:dyDescent="0.2">
      <c r="A22" s="116"/>
      <c r="B22" s="117"/>
      <c r="C22" s="118"/>
      <c r="D22" s="119"/>
      <c r="E22" s="120"/>
      <c r="F22" s="40"/>
      <c r="G22" s="40"/>
      <c r="H22" s="40"/>
      <c r="I22" s="121"/>
    </row>
    <row r="23" spans="1:12" ht="12.75" customHeight="1" x14ac:dyDescent="0.2">
      <c r="A23" s="122"/>
      <c r="B23" s="122"/>
      <c r="C23" s="122"/>
      <c r="I23" s="121"/>
    </row>
    <row r="24" spans="1:12" ht="12.75" customHeight="1" x14ac:dyDescent="0.2">
      <c r="A24" s="116"/>
      <c r="B24" s="117"/>
      <c r="C24" s="118"/>
      <c r="I24" s="121"/>
    </row>
    <row r="25" spans="1:12" ht="13.5" customHeight="1" x14ac:dyDescent="0.2">
      <c r="A25" s="116"/>
      <c r="B25" s="117"/>
      <c r="C25" s="118"/>
      <c r="D25" s="123"/>
      <c r="E25" s="123"/>
      <c r="F25" s="123"/>
      <c r="G25" s="123"/>
      <c r="H25" s="123"/>
      <c r="I25" s="121"/>
    </row>
    <row r="26" spans="1:12" ht="12.75" customHeight="1" x14ac:dyDescent="0.2">
      <c r="A26" s="124"/>
      <c r="B26" s="125"/>
      <c r="C26" s="126"/>
      <c r="D26" s="127"/>
      <c r="E26" s="127"/>
      <c r="F26" s="127"/>
      <c r="G26" s="127"/>
      <c r="H26" s="127"/>
      <c r="I26" s="121"/>
      <c r="J26" s="128"/>
      <c r="K26" s="128"/>
    </row>
    <row r="27" spans="1:12" x14ac:dyDescent="0.2">
      <c r="A27" s="116"/>
      <c r="B27" s="117"/>
      <c r="C27" s="118"/>
      <c r="D27" s="129"/>
      <c r="E27" s="129"/>
      <c r="F27" s="129"/>
      <c r="G27" s="129"/>
      <c r="H27" s="129"/>
      <c r="I27" s="121"/>
    </row>
    <row r="28" spans="1:12" ht="6.75" customHeight="1" x14ac:dyDescent="0.2">
      <c r="A28" s="130"/>
      <c r="B28" s="130"/>
      <c r="C28" s="130"/>
      <c r="D28" s="130"/>
      <c r="E28" s="130"/>
      <c r="F28" s="130"/>
      <c r="G28" s="130"/>
      <c r="H28" s="130"/>
      <c r="I28" s="121"/>
    </row>
    <row r="29" spans="1:12" x14ac:dyDescent="0.2">
      <c r="A29" s="131"/>
      <c r="B29" s="131"/>
      <c r="C29" s="131"/>
      <c r="D29" s="131"/>
      <c r="E29" s="131"/>
      <c r="F29" s="131"/>
      <c r="G29" s="131"/>
      <c r="H29" s="131"/>
    </row>
    <row r="30" spans="1:12" x14ac:dyDescent="0.2">
      <c r="D30" s="132"/>
      <c r="E30" s="132"/>
      <c r="F30" s="132"/>
      <c r="G30" s="132"/>
      <c r="H30" s="132"/>
      <c r="J30" s="133"/>
      <c r="L30" s="133"/>
    </row>
  </sheetData>
  <mergeCells count="32">
    <mergeCell ref="B10:C10"/>
    <mergeCell ref="E10:F10"/>
    <mergeCell ref="A1:L1"/>
    <mergeCell ref="A2:B4"/>
    <mergeCell ref="C2:H4"/>
    <mergeCell ref="I2:J2"/>
    <mergeCell ref="K2:L4"/>
    <mergeCell ref="I3:J3"/>
    <mergeCell ref="A5:L5"/>
    <mergeCell ref="B6:K6"/>
    <mergeCell ref="B7:K7"/>
    <mergeCell ref="A8:L8"/>
    <mergeCell ref="A9:F9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A20:F20"/>
    <mergeCell ref="A19:C19"/>
    <mergeCell ref="E19:F19"/>
  </mergeCells>
  <pageMargins left="0.25" right="0.25" top="0.75" bottom="0.75" header="0.3" footer="0.3"/>
  <pageSetup paperSize="9" scale="7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zoomScale="115" zoomScaleNormal="115" workbookViewId="0">
      <selection activeCell="H45" sqref="A1:H45"/>
    </sheetView>
  </sheetViews>
  <sheetFormatPr defaultRowHeight="12.75" x14ac:dyDescent="0.2"/>
  <cols>
    <col min="1" max="1" width="8.1640625" style="47" customWidth="1"/>
    <col min="2" max="2" width="9.5" style="47" customWidth="1"/>
    <col min="3" max="3" width="52.33203125" style="47" customWidth="1"/>
    <col min="4" max="4" width="12.83203125" style="47" customWidth="1"/>
    <col min="5" max="5" width="7.83203125" style="47" customWidth="1"/>
    <col min="6" max="6" width="7" style="47" customWidth="1"/>
    <col min="7" max="8" width="9.1640625" style="47" customWidth="1"/>
    <col min="9" max="11" width="9.33203125" style="47"/>
    <col min="12" max="12" width="10.83203125" style="47" customWidth="1"/>
    <col min="13" max="13" width="7.33203125" style="47" bestFit="1" customWidth="1"/>
    <col min="14" max="14" width="10.1640625" style="47" bestFit="1" customWidth="1"/>
    <col min="15" max="16" width="9.33203125" style="47"/>
    <col min="17" max="17" width="16.83203125" style="47" customWidth="1"/>
    <col min="18" max="18" width="18" style="47" customWidth="1"/>
    <col min="19" max="16384" width="9.33203125" style="47"/>
  </cols>
  <sheetData>
    <row r="1" spans="1:18" ht="7.5" customHeight="1" thickBot="1" x14ac:dyDescent="0.25">
      <c r="A1" s="274"/>
      <c r="B1" s="275"/>
      <c r="C1" s="275"/>
      <c r="D1" s="275"/>
      <c r="E1" s="275"/>
      <c r="F1" s="275"/>
      <c r="G1" s="275"/>
      <c r="H1" s="276"/>
    </row>
    <row r="2" spans="1:18" ht="30" customHeight="1" x14ac:dyDescent="0.2">
      <c r="A2" s="337"/>
      <c r="B2" s="338"/>
      <c r="C2" s="401" t="s">
        <v>98</v>
      </c>
      <c r="D2" s="343" t="s">
        <v>188</v>
      </c>
      <c r="E2" s="404"/>
      <c r="F2" s="405"/>
      <c r="G2" s="347"/>
      <c r="H2" s="348"/>
    </row>
    <row r="3" spans="1:18" x14ac:dyDescent="0.2">
      <c r="A3" s="337"/>
      <c r="B3" s="338"/>
      <c r="C3" s="402"/>
      <c r="D3" s="406" t="s">
        <v>1</v>
      </c>
      <c r="E3" s="407"/>
      <c r="F3" s="408"/>
      <c r="G3" s="347"/>
      <c r="H3" s="348"/>
    </row>
    <row r="4" spans="1:18" ht="20.25" customHeight="1" thickBot="1" x14ac:dyDescent="0.25">
      <c r="A4" s="337"/>
      <c r="B4" s="338"/>
      <c r="C4" s="403"/>
      <c r="D4" s="73" t="s">
        <v>2</v>
      </c>
      <c r="E4" s="409">
        <f>F27</f>
        <v>0.23535496426352442</v>
      </c>
      <c r="F4" s="410"/>
      <c r="G4" s="347"/>
      <c r="H4" s="348"/>
    </row>
    <row r="5" spans="1:18" ht="13.5" thickBot="1" x14ac:dyDescent="0.25">
      <c r="A5" s="351" t="s">
        <v>93</v>
      </c>
      <c r="B5" s="352"/>
      <c r="C5" s="352"/>
      <c r="D5" s="352"/>
      <c r="E5" s="352"/>
      <c r="F5" s="352"/>
      <c r="G5" s="352"/>
      <c r="H5" s="353"/>
    </row>
    <row r="6" spans="1:18" ht="26.25" customHeight="1" x14ac:dyDescent="0.2">
      <c r="A6" s="49" t="s">
        <v>3</v>
      </c>
      <c r="B6" s="355" t="s">
        <v>183</v>
      </c>
      <c r="C6" s="355"/>
      <c r="D6" s="355"/>
      <c r="E6" s="355"/>
      <c r="F6" s="355"/>
      <c r="G6" s="355"/>
      <c r="H6" s="50" t="s">
        <v>111</v>
      </c>
    </row>
    <row r="7" spans="1:18" ht="12.75" customHeight="1" thickBot="1" x14ac:dyDescent="0.25">
      <c r="A7" s="49" t="s">
        <v>89</v>
      </c>
      <c r="B7" s="358" t="s">
        <v>180</v>
      </c>
      <c r="C7" s="358"/>
      <c r="D7" s="358"/>
      <c r="E7" s="358"/>
      <c r="F7" s="358"/>
      <c r="G7" s="358"/>
      <c r="H7" s="72">
        <f ca="1">TODAY()</f>
        <v>44680</v>
      </c>
    </row>
    <row r="8" spans="1:18" ht="13.5" thickBot="1" x14ac:dyDescent="0.25">
      <c r="A8" s="286" t="s">
        <v>114</v>
      </c>
      <c r="B8" s="287"/>
      <c r="C8" s="287"/>
      <c r="D8" s="287"/>
      <c r="E8" s="287"/>
      <c r="F8" s="287"/>
      <c r="G8" s="287"/>
      <c r="H8" s="288"/>
    </row>
    <row r="9" spans="1:18" ht="13.5" thickBot="1" x14ac:dyDescent="0.25">
      <c r="A9" s="417" t="s">
        <v>30</v>
      </c>
      <c r="B9" s="419" t="s">
        <v>31</v>
      </c>
      <c r="C9" s="420"/>
      <c r="D9" s="420"/>
      <c r="E9" s="421"/>
      <c r="F9" s="419" t="s">
        <v>32</v>
      </c>
      <c r="G9" s="420"/>
      <c r="H9" s="421"/>
    </row>
    <row r="10" spans="1:18" ht="13.5" thickBot="1" x14ac:dyDescent="0.25">
      <c r="A10" s="418"/>
      <c r="B10" s="422"/>
      <c r="C10" s="423"/>
      <c r="D10" s="423"/>
      <c r="E10" s="424"/>
      <c r="F10" s="422" t="s">
        <v>33</v>
      </c>
      <c r="G10" s="423"/>
      <c r="H10" s="424"/>
      <c r="L10" s="411" t="s">
        <v>155</v>
      </c>
      <c r="M10" s="412"/>
      <c r="N10" s="413"/>
      <c r="O10" s="151"/>
      <c r="P10" s="414" t="s">
        <v>156</v>
      </c>
      <c r="Q10" s="415"/>
      <c r="R10" s="416"/>
    </row>
    <row r="11" spans="1:18" x14ac:dyDescent="0.2">
      <c r="A11" s="44">
        <v>1</v>
      </c>
      <c r="B11" s="425" t="s">
        <v>34</v>
      </c>
      <c r="C11" s="426"/>
      <c r="D11" s="426"/>
      <c r="E11" s="426"/>
      <c r="F11" s="397">
        <f>SUM(F12:H15)</f>
        <v>7.3000000000000007</v>
      </c>
      <c r="G11" s="397"/>
      <c r="H11" s="398"/>
      <c r="I11" s="51">
        <f>1+F12/100+F14/100+F13/100</f>
        <v>1.0607</v>
      </c>
      <c r="L11" s="152" t="s">
        <v>157</v>
      </c>
      <c r="M11" s="167" t="s">
        <v>158</v>
      </c>
      <c r="N11" s="153" t="s">
        <v>159</v>
      </c>
      <c r="O11" s="151"/>
      <c r="P11" s="154" t="s">
        <v>160</v>
      </c>
      <c r="Q11" s="155"/>
      <c r="R11" s="156">
        <v>0.28349999999999997</v>
      </c>
    </row>
    <row r="12" spans="1:18" x14ac:dyDescent="0.2">
      <c r="A12" s="52" t="s">
        <v>35</v>
      </c>
      <c r="B12" s="399" t="s">
        <v>36</v>
      </c>
      <c r="C12" s="400"/>
      <c r="D12" s="400"/>
      <c r="E12" s="400"/>
      <c r="F12" s="390">
        <v>4</v>
      </c>
      <c r="G12" s="390"/>
      <c r="H12" s="391"/>
      <c r="I12" s="51">
        <f>1+F18/100</f>
        <v>1.0740000000000001</v>
      </c>
      <c r="L12" s="157">
        <v>0.03</v>
      </c>
      <c r="M12" s="168">
        <v>0.04</v>
      </c>
      <c r="N12" s="158">
        <v>5.5E-2</v>
      </c>
      <c r="O12" s="151"/>
      <c r="P12" s="154" t="s">
        <v>161</v>
      </c>
      <c r="Q12" s="155"/>
      <c r="R12" s="156">
        <v>0.2223</v>
      </c>
    </row>
    <row r="13" spans="1:18" ht="13.5" thickBot="1" x14ac:dyDescent="0.25">
      <c r="A13" s="52" t="s">
        <v>37</v>
      </c>
      <c r="B13" s="399" t="s">
        <v>38</v>
      </c>
      <c r="C13" s="400"/>
      <c r="D13" s="400"/>
      <c r="E13" s="400"/>
      <c r="F13" s="390">
        <v>0.8</v>
      </c>
      <c r="G13" s="390"/>
      <c r="H13" s="391"/>
      <c r="I13" s="51">
        <f>1+F15/100</f>
        <v>1.0123</v>
      </c>
      <c r="L13" s="157">
        <v>8.0000000000000002E-3</v>
      </c>
      <c r="M13" s="168">
        <v>8.0000000000000002E-3</v>
      </c>
      <c r="N13" s="158">
        <v>0.01</v>
      </c>
      <c r="O13" s="151"/>
      <c r="P13" s="159" t="s">
        <v>162</v>
      </c>
      <c r="Q13" s="160"/>
      <c r="R13" s="161"/>
    </row>
    <row r="14" spans="1:18" ht="13.5" thickBot="1" x14ac:dyDescent="0.25">
      <c r="A14" s="52" t="s">
        <v>39</v>
      </c>
      <c r="B14" s="399" t="s">
        <v>40</v>
      </c>
      <c r="C14" s="400"/>
      <c r="D14" s="400"/>
      <c r="E14" s="400"/>
      <c r="F14" s="390">
        <v>1.27</v>
      </c>
      <c r="G14" s="390"/>
      <c r="H14" s="391"/>
      <c r="I14" s="51">
        <f>1-F20/100</f>
        <v>0.9335</v>
      </c>
      <c r="L14" s="157">
        <v>9.7000000000000003E-3</v>
      </c>
      <c r="M14" s="168">
        <v>1.2699999999999999E-2</v>
      </c>
      <c r="N14" s="158">
        <v>1.2699999999999999E-2</v>
      </c>
      <c r="O14" s="151"/>
      <c r="P14" s="159" t="s">
        <v>163</v>
      </c>
      <c r="Q14" s="160"/>
      <c r="R14" s="161"/>
    </row>
    <row r="15" spans="1:18" ht="13.5" thickBot="1" x14ac:dyDescent="0.25">
      <c r="A15" s="52" t="s">
        <v>41</v>
      </c>
      <c r="B15" s="399" t="s">
        <v>42</v>
      </c>
      <c r="C15" s="400"/>
      <c r="D15" s="400"/>
      <c r="E15" s="400"/>
      <c r="F15" s="390">
        <v>1.23</v>
      </c>
      <c r="G15" s="390"/>
      <c r="H15" s="391"/>
      <c r="I15" s="51">
        <f>I11*I12*I13/I14</f>
        <v>1.2353549642635244</v>
      </c>
      <c r="L15" s="162">
        <v>5.8999999999999999E-3</v>
      </c>
      <c r="M15" s="169">
        <v>1.23E-2</v>
      </c>
      <c r="N15" s="163">
        <v>1.3899999999999999E-2</v>
      </c>
      <c r="O15" s="151"/>
      <c r="P15" s="151"/>
      <c r="Q15" s="151"/>
      <c r="R15" s="151"/>
    </row>
    <row r="16" spans="1:18" x14ac:dyDescent="0.2">
      <c r="A16" s="392"/>
      <c r="B16" s="393"/>
      <c r="C16" s="393"/>
      <c r="D16" s="393"/>
      <c r="E16" s="393"/>
      <c r="F16" s="393"/>
      <c r="G16" s="393"/>
      <c r="H16" s="394"/>
      <c r="I16" s="53">
        <f>I15-1</f>
        <v>0.23535496426352442</v>
      </c>
      <c r="L16" s="151"/>
      <c r="M16" s="151"/>
      <c r="N16" s="151"/>
      <c r="O16" s="151"/>
      <c r="P16" s="414" t="s">
        <v>164</v>
      </c>
      <c r="Q16" s="415"/>
      <c r="R16" s="416"/>
    </row>
    <row r="17" spans="1:18" ht="13.5" thickBot="1" x14ac:dyDescent="0.25">
      <c r="A17" s="45" t="s">
        <v>43</v>
      </c>
      <c r="B17" s="395" t="s">
        <v>44</v>
      </c>
      <c r="C17" s="396"/>
      <c r="D17" s="396"/>
      <c r="E17" s="396"/>
      <c r="F17" s="397">
        <f>SUM(F18)</f>
        <v>7.4</v>
      </c>
      <c r="G17" s="397"/>
      <c r="H17" s="398"/>
      <c r="L17" s="151"/>
      <c r="M17" s="151"/>
      <c r="N17" s="151"/>
      <c r="O17" s="151"/>
      <c r="P17" s="154" t="s">
        <v>160</v>
      </c>
      <c r="Q17" s="155"/>
      <c r="R17" s="156">
        <v>0.26369999999999999</v>
      </c>
    </row>
    <row r="18" spans="1:18" ht="13.5" thickBot="1" x14ac:dyDescent="0.25">
      <c r="A18" s="52" t="s">
        <v>45</v>
      </c>
      <c r="B18" s="399" t="s">
        <v>46</v>
      </c>
      <c r="C18" s="400"/>
      <c r="D18" s="400"/>
      <c r="E18" s="400"/>
      <c r="F18" s="390">
        <v>7.4</v>
      </c>
      <c r="G18" s="390"/>
      <c r="H18" s="391"/>
      <c r="L18" s="164">
        <v>6.1600000000000002E-2</v>
      </c>
      <c r="M18" s="165">
        <v>7.400000000000001E-2</v>
      </c>
      <c r="N18" s="166">
        <v>8.9600000000000013E-2</v>
      </c>
      <c r="O18" s="151"/>
      <c r="P18" s="154" t="s">
        <v>161</v>
      </c>
      <c r="Q18" s="155"/>
      <c r="R18" s="156">
        <v>0.20349999999999999</v>
      </c>
    </row>
    <row r="19" spans="1:18" ht="13.5" thickBot="1" x14ac:dyDescent="0.25">
      <c r="A19" s="392"/>
      <c r="B19" s="393"/>
      <c r="C19" s="393"/>
      <c r="D19" s="393"/>
      <c r="E19" s="393"/>
      <c r="F19" s="393"/>
      <c r="G19" s="393"/>
      <c r="H19" s="394"/>
      <c r="L19" s="151"/>
      <c r="M19" s="151"/>
      <c r="N19" s="151"/>
      <c r="O19" s="151"/>
      <c r="P19" s="159" t="s">
        <v>162</v>
      </c>
      <c r="Q19" s="160"/>
      <c r="R19" s="161"/>
    </row>
    <row r="20" spans="1:18" ht="13.5" thickBot="1" x14ac:dyDescent="0.25">
      <c r="A20" s="45" t="s">
        <v>47</v>
      </c>
      <c r="B20" s="395" t="s">
        <v>48</v>
      </c>
      <c r="C20" s="396"/>
      <c r="D20" s="396"/>
      <c r="E20" s="396"/>
      <c r="F20" s="397">
        <f>SUM(F21:H24)</f>
        <v>6.65</v>
      </c>
      <c r="G20" s="397"/>
      <c r="H20" s="398"/>
      <c r="L20" s="151"/>
      <c r="M20" s="151"/>
      <c r="N20" s="151"/>
      <c r="O20" s="151"/>
      <c r="P20" s="159" t="s">
        <v>163</v>
      </c>
      <c r="Q20" s="160"/>
      <c r="R20" s="161"/>
    </row>
    <row r="21" spans="1:18" x14ac:dyDescent="0.2">
      <c r="A21" s="52" t="s">
        <v>49</v>
      </c>
      <c r="B21" s="388" t="s">
        <v>50</v>
      </c>
      <c r="C21" s="389"/>
      <c r="D21" s="389"/>
      <c r="E21" s="389"/>
      <c r="F21" s="390">
        <f>5*0.6</f>
        <v>3</v>
      </c>
      <c r="G21" s="390"/>
      <c r="H21" s="391"/>
    </row>
    <row r="22" spans="1:18" x14ac:dyDescent="0.2">
      <c r="A22" s="52" t="s">
        <v>51</v>
      </c>
      <c r="B22" s="388" t="s">
        <v>52</v>
      </c>
      <c r="C22" s="389"/>
      <c r="D22" s="389"/>
      <c r="E22" s="389"/>
      <c r="F22" s="390">
        <v>3</v>
      </c>
      <c r="G22" s="390"/>
      <c r="H22" s="391"/>
    </row>
    <row r="23" spans="1:18" x14ac:dyDescent="0.2">
      <c r="A23" s="52" t="s">
        <v>53</v>
      </c>
      <c r="B23" s="388" t="s">
        <v>54</v>
      </c>
      <c r="C23" s="389"/>
      <c r="D23" s="389"/>
      <c r="E23" s="389"/>
      <c r="F23" s="390">
        <v>0.65</v>
      </c>
      <c r="G23" s="390"/>
      <c r="H23" s="391"/>
    </row>
    <row r="24" spans="1:18" x14ac:dyDescent="0.2">
      <c r="A24" s="52" t="s">
        <v>55</v>
      </c>
      <c r="B24" s="388" t="s">
        <v>56</v>
      </c>
      <c r="C24" s="389"/>
      <c r="D24" s="389"/>
      <c r="E24" s="389"/>
      <c r="F24" s="390">
        <v>0</v>
      </c>
      <c r="G24" s="390"/>
      <c r="H24" s="391"/>
    </row>
    <row r="25" spans="1:18" x14ac:dyDescent="0.2">
      <c r="A25" s="372" t="s">
        <v>154</v>
      </c>
      <c r="B25" s="373"/>
      <c r="C25" s="373"/>
      <c r="D25" s="373"/>
      <c r="E25" s="373"/>
      <c r="F25" s="373"/>
      <c r="G25" s="373"/>
      <c r="H25" s="374"/>
    </row>
    <row r="26" spans="1:18" ht="13.5" thickBot="1" x14ac:dyDescent="0.25">
      <c r="A26" s="372" t="s">
        <v>57</v>
      </c>
      <c r="B26" s="373"/>
      <c r="C26" s="373"/>
      <c r="D26" s="373"/>
      <c r="E26" s="373"/>
      <c r="F26" s="373"/>
      <c r="G26" s="373"/>
      <c r="H26" s="374"/>
    </row>
    <row r="27" spans="1:18" ht="14.25" thickBot="1" x14ac:dyDescent="0.25">
      <c r="A27" s="370" t="s">
        <v>115</v>
      </c>
      <c r="B27" s="371"/>
      <c r="C27" s="371"/>
      <c r="D27" s="371"/>
      <c r="E27" s="371"/>
      <c r="F27" s="375">
        <f>I16</f>
        <v>0.23535496426352442</v>
      </c>
      <c r="G27" s="376"/>
      <c r="H27" s="377"/>
    </row>
    <row r="28" spans="1:18" x14ac:dyDescent="0.2">
      <c r="A28" s="378"/>
      <c r="B28" s="379"/>
      <c r="C28" s="379"/>
      <c r="D28" s="379"/>
      <c r="E28" s="379"/>
      <c r="F28" s="379"/>
      <c r="G28" s="379"/>
      <c r="H28" s="380"/>
    </row>
    <row r="29" spans="1:18" x14ac:dyDescent="0.2">
      <c r="A29" s="378" t="s">
        <v>58</v>
      </c>
      <c r="B29" s="379"/>
      <c r="C29" s="379"/>
      <c r="D29" s="379"/>
      <c r="E29" s="379"/>
      <c r="F29" s="379"/>
      <c r="G29" s="379"/>
      <c r="H29" s="380"/>
    </row>
    <row r="30" spans="1:18" ht="13.5" thickBot="1" x14ac:dyDescent="0.25">
      <c r="A30" s="381" t="s">
        <v>59</v>
      </c>
      <c r="B30" s="382"/>
      <c r="C30" s="382"/>
      <c r="D30" s="382"/>
      <c r="E30" s="382"/>
      <c r="F30" s="382"/>
      <c r="G30" s="382"/>
      <c r="H30" s="383"/>
    </row>
    <row r="31" spans="1:18" x14ac:dyDescent="0.2">
      <c r="A31" s="54"/>
      <c r="B31" s="55"/>
      <c r="C31" s="56"/>
      <c r="D31" s="56"/>
      <c r="E31" s="56"/>
      <c r="F31" s="56"/>
      <c r="G31" s="56"/>
      <c r="H31" s="57"/>
    </row>
    <row r="32" spans="1:18" x14ac:dyDescent="0.2">
      <c r="A32" s="58"/>
      <c r="B32" s="384" t="s">
        <v>116</v>
      </c>
      <c r="C32" s="385" t="s">
        <v>117</v>
      </c>
      <c r="D32" s="385"/>
      <c r="E32" s="385"/>
      <c r="F32" s="385"/>
      <c r="G32" s="386">
        <v>-1</v>
      </c>
      <c r="H32" s="59"/>
    </row>
    <row r="33" spans="1:8" x14ac:dyDescent="0.2">
      <c r="A33" s="58"/>
      <c r="B33" s="384"/>
      <c r="C33" s="387" t="s">
        <v>118</v>
      </c>
      <c r="D33" s="387"/>
      <c r="E33" s="387"/>
      <c r="F33" s="387"/>
      <c r="G33" s="386"/>
      <c r="H33" s="59"/>
    </row>
    <row r="34" spans="1:8" ht="13.5" thickBot="1" x14ac:dyDescent="0.25">
      <c r="A34" s="58"/>
      <c r="B34" s="60"/>
      <c r="C34" s="61"/>
      <c r="D34" s="62"/>
      <c r="E34" s="63"/>
      <c r="F34" s="63"/>
      <c r="G34" s="63"/>
      <c r="H34" s="59"/>
    </row>
    <row r="35" spans="1:8" ht="13.5" thickBot="1" x14ac:dyDescent="0.25">
      <c r="A35" s="58"/>
      <c r="B35" s="365" t="s">
        <v>119</v>
      </c>
      <c r="C35" s="366"/>
      <c r="D35" s="366"/>
      <c r="E35" s="366"/>
      <c r="F35" s="366"/>
      <c r="G35" s="367"/>
      <c r="H35" s="59"/>
    </row>
    <row r="36" spans="1:8" ht="13.5" thickBot="1" x14ac:dyDescent="0.25">
      <c r="A36" s="58"/>
      <c r="B36" s="64">
        <v>0.05</v>
      </c>
      <c r="C36" s="368" t="s">
        <v>153</v>
      </c>
      <c r="D36" s="368"/>
      <c r="E36" s="368"/>
      <c r="F36" s="368"/>
      <c r="G36" s="369"/>
      <c r="H36" s="59"/>
    </row>
    <row r="37" spans="1:8" ht="13.5" thickBot="1" x14ac:dyDescent="0.25">
      <c r="A37" s="58"/>
      <c r="B37" s="63"/>
      <c r="C37" s="65"/>
      <c r="D37" s="65"/>
      <c r="E37" s="65"/>
      <c r="F37" s="65"/>
      <c r="G37" s="65"/>
      <c r="H37" s="59"/>
    </row>
    <row r="38" spans="1:8" ht="13.5" thickBot="1" x14ac:dyDescent="0.25">
      <c r="A38" s="58"/>
      <c r="B38" s="66">
        <v>0.6</v>
      </c>
      <c r="C38" s="368" t="s">
        <v>120</v>
      </c>
      <c r="D38" s="368"/>
      <c r="E38" s="368"/>
      <c r="F38" s="368"/>
      <c r="G38" s="369"/>
      <c r="H38" s="59"/>
    </row>
    <row r="39" spans="1:8" ht="13.5" thickBot="1" x14ac:dyDescent="0.25">
      <c r="A39" s="67"/>
      <c r="B39" s="68"/>
      <c r="C39" s="69"/>
      <c r="D39" s="70"/>
      <c r="E39" s="70"/>
      <c r="F39" s="70"/>
      <c r="G39" s="70"/>
      <c r="H39" s="71"/>
    </row>
  </sheetData>
  <mergeCells count="58">
    <mergeCell ref="L10:N10"/>
    <mergeCell ref="P10:R10"/>
    <mergeCell ref="P16:R16"/>
    <mergeCell ref="A5:H5"/>
    <mergeCell ref="B6:G6"/>
    <mergeCell ref="B7:G7"/>
    <mergeCell ref="A9:A10"/>
    <mergeCell ref="B9:E10"/>
    <mergeCell ref="A8:H8"/>
    <mergeCell ref="F9:H9"/>
    <mergeCell ref="F10:H10"/>
    <mergeCell ref="F11:H11"/>
    <mergeCell ref="B11:E11"/>
    <mergeCell ref="B12:E12"/>
    <mergeCell ref="B13:E13"/>
    <mergeCell ref="F13:H13"/>
    <mergeCell ref="A1:H1"/>
    <mergeCell ref="A2:B4"/>
    <mergeCell ref="C2:C4"/>
    <mergeCell ref="D2:F2"/>
    <mergeCell ref="G2:H4"/>
    <mergeCell ref="D3:F3"/>
    <mergeCell ref="E4:F4"/>
    <mergeCell ref="F12:H12"/>
    <mergeCell ref="B14:E14"/>
    <mergeCell ref="B15:E15"/>
    <mergeCell ref="F14:H14"/>
    <mergeCell ref="F15:H15"/>
    <mergeCell ref="A16:H16"/>
    <mergeCell ref="B17:E17"/>
    <mergeCell ref="B18:E18"/>
    <mergeCell ref="F17:H17"/>
    <mergeCell ref="F18:H18"/>
    <mergeCell ref="A19:H19"/>
    <mergeCell ref="B20:E20"/>
    <mergeCell ref="B21:E21"/>
    <mergeCell ref="B22:E22"/>
    <mergeCell ref="F20:H20"/>
    <mergeCell ref="F21:H21"/>
    <mergeCell ref="F22:H22"/>
    <mergeCell ref="B23:E23"/>
    <mergeCell ref="B24:E24"/>
    <mergeCell ref="F23:H23"/>
    <mergeCell ref="F24:H24"/>
    <mergeCell ref="A25:H25"/>
    <mergeCell ref="B35:G35"/>
    <mergeCell ref="C36:G36"/>
    <mergeCell ref="C38:G38"/>
    <mergeCell ref="A27:E27"/>
    <mergeCell ref="A26:H26"/>
    <mergeCell ref="F27:H27"/>
    <mergeCell ref="A29:H29"/>
    <mergeCell ref="A30:H30"/>
    <mergeCell ref="B32:B33"/>
    <mergeCell ref="C32:F32"/>
    <mergeCell ref="G32:G33"/>
    <mergeCell ref="C33:F33"/>
    <mergeCell ref="A28:H28"/>
  </mergeCells>
  <pageMargins left="0.25" right="0.25" top="0.75" bottom="0.75" header="0.3" footer="0.3"/>
  <pageSetup paperSize="9" scale="4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zoomScale="145" zoomScaleNormal="145" workbookViewId="0">
      <selection activeCell="D22" sqref="D22"/>
    </sheetView>
  </sheetViews>
  <sheetFormatPr defaultRowHeight="12.75" x14ac:dyDescent="0.2"/>
  <cols>
    <col min="1" max="1" width="15.33203125" style="47" customWidth="1"/>
    <col min="2" max="2" width="54" style="47" customWidth="1"/>
    <col min="3" max="3" width="11" style="47" customWidth="1"/>
    <col min="4" max="4" width="12.33203125" style="47" customWidth="1"/>
    <col min="5" max="5" width="10.1640625" style="47" customWidth="1"/>
    <col min="6" max="6" width="11" style="47" customWidth="1"/>
    <col min="7" max="16384" width="9.33203125" style="47"/>
  </cols>
  <sheetData>
    <row r="1" spans="1:8" ht="5.25" customHeight="1" x14ac:dyDescent="0.2">
      <c r="A1" s="458"/>
      <c r="B1" s="459"/>
      <c r="C1" s="459"/>
      <c r="D1" s="459"/>
      <c r="E1" s="459"/>
      <c r="F1" s="460"/>
    </row>
    <row r="2" spans="1:8" ht="26.85" customHeight="1" x14ac:dyDescent="0.2">
      <c r="A2" s="461"/>
      <c r="B2" s="467" t="s">
        <v>98</v>
      </c>
      <c r="C2" s="463" t="s">
        <v>188</v>
      </c>
      <c r="D2" s="464"/>
      <c r="E2" s="347"/>
      <c r="F2" s="348"/>
    </row>
    <row r="3" spans="1:8" ht="24.75" customHeight="1" thickBot="1" x14ac:dyDescent="0.25">
      <c r="A3" s="462"/>
      <c r="B3" s="468"/>
      <c r="C3" s="74" t="s">
        <v>29</v>
      </c>
      <c r="D3" s="231">
        <f>BDI!E4</f>
        <v>0.23535496426352442</v>
      </c>
      <c r="E3" s="465"/>
      <c r="F3" s="466"/>
    </row>
    <row r="4" spans="1:8" ht="9" customHeight="1" thickBot="1" x14ac:dyDescent="0.25">
      <c r="A4" s="317" t="s">
        <v>93</v>
      </c>
      <c r="B4" s="318"/>
      <c r="C4" s="318"/>
      <c r="D4" s="318"/>
      <c r="E4" s="318"/>
      <c r="F4" s="319"/>
      <c r="G4" s="76"/>
      <c r="H4" s="76"/>
    </row>
    <row r="5" spans="1:8" ht="10.35" customHeight="1" x14ac:dyDescent="0.2">
      <c r="A5" s="77" t="s">
        <v>3</v>
      </c>
      <c r="B5" s="355" t="s">
        <v>183</v>
      </c>
      <c r="C5" s="355"/>
      <c r="D5" s="355"/>
      <c r="E5" s="355"/>
      <c r="F5" s="50" t="s">
        <v>111</v>
      </c>
    </row>
    <row r="6" spans="1:8" ht="10.35" customHeight="1" thickBot="1" x14ac:dyDescent="0.2">
      <c r="A6" s="78" t="s">
        <v>89</v>
      </c>
      <c r="B6" s="427" t="s">
        <v>180</v>
      </c>
      <c r="C6" s="427"/>
      <c r="D6" s="427"/>
      <c r="E6" s="427"/>
      <c r="F6" s="79">
        <f ca="1">TODAY()</f>
        <v>44680</v>
      </c>
    </row>
    <row r="7" spans="1:8" ht="12.75" customHeight="1" x14ac:dyDescent="0.2">
      <c r="A7" s="442" t="s">
        <v>121</v>
      </c>
      <c r="B7" s="443"/>
      <c r="C7" s="443"/>
      <c r="D7" s="443"/>
      <c r="E7" s="443"/>
      <c r="F7" s="444"/>
      <c r="G7" s="80"/>
      <c r="H7" s="80"/>
    </row>
    <row r="8" spans="1:8" ht="9" customHeight="1" x14ac:dyDescent="0.2">
      <c r="A8" s="81" t="s">
        <v>60</v>
      </c>
      <c r="B8" s="428" t="s">
        <v>14</v>
      </c>
      <c r="C8" s="429"/>
      <c r="D8" s="429"/>
      <c r="E8" s="430"/>
      <c r="F8" s="82" t="s">
        <v>15</v>
      </c>
    </row>
    <row r="9" spans="1:8" ht="19.5" customHeight="1" x14ac:dyDescent="0.2">
      <c r="A9" s="83" t="s">
        <v>16</v>
      </c>
      <c r="B9" s="84" t="s">
        <v>17</v>
      </c>
      <c r="C9" s="84" t="s">
        <v>15</v>
      </c>
      <c r="D9" s="84" t="s">
        <v>18</v>
      </c>
      <c r="E9" s="84" t="s">
        <v>19</v>
      </c>
      <c r="F9" s="85" t="s">
        <v>20</v>
      </c>
    </row>
    <row r="10" spans="1:8" ht="8.25" customHeight="1" x14ac:dyDescent="0.2">
      <c r="A10" s="431" t="s">
        <v>21</v>
      </c>
      <c r="B10" s="432"/>
      <c r="C10" s="432"/>
      <c r="D10" s="432"/>
      <c r="E10" s="432"/>
      <c r="F10" s="433"/>
    </row>
    <row r="11" spans="1:8" x14ac:dyDescent="0.2">
      <c r="A11" s="86">
        <v>90780</v>
      </c>
      <c r="B11" s="87" t="s">
        <v>22</v>
      </c>
      <c r="C11" s="88" t="s">
        <v>23</v>
      </c>
      <c r="D11" s="89">
        <f>3*3*4*1</f>
        <v>36</v>
      </c>
      <c r="E11" s="144">
        <v>37.6</v>
      </c>
      <c r="F11" s="90">
        <f>D11*E11</f>
        <v>1353.6000000000001</v>
      </c>
      <c r="G11" s="91"/>
    </row>
    <row r="12" spans="1:8" ht="8.25" customHeight="1" x14ac:dyDescent="0.2">
      <c r="A12" s="92">
        <v>90777</v>
      </c>
      <c r="B12" s="93" t="s">
        <v>24</v>
      </c>
      <c r="C12" s="94" t="s">
        <v>23</v>
      </c>
      <c r="D12" s="89">
        <f>2*2*3*1</f>
        <v>12</v>
      </c>
      <c r="E12" s="189">
        <v>93.77</v>
      </c>
      <c r="F12" s="90">
        <f>D12*E12</f>
        <v>1125.24</v>
      </c>
      <c r="G12" s="91"/>
    </row>
    <row r="13" spans="1:8" ht="8.25" customHeight="1" x14ac:dyDescent="0.2">
      <c r="A13" s="434"/>
      <c r="B13" s="435"/>
      <c r="C13" s="435"/>
      <c r="D13" s="436"/>
      <c r="E13" s="46" t="s">
        <v>25</v>
      </c>
      <c r="F13" s="95">
        <f>SUM(F11:F12)</f>
        <v>2478.84</v>
      </c>
    </row>
    <row r="14" spans="1:8" ht="17.25" customHeight="1" x14ac:dyDescent="0.2">
      <c r="A14" s="445"/>
      <c r="B14" s="446"/>
      <c r="C14" s="446"/>
      <c r="D14" s="446"/>
      <c r="E14" s="446"/>
      <c r="F14" s="447"/>
    </row>
    <row r="15" spans="1:8" ht="8.25" customHeight="1" x14ac:dyDescent="0.2">
      <c r="A15" s="448" t="s">
        <v>26</v>
      </c>
      <c r="B15" s="449"/>
      <c r="C15" s="449"/>
      <c r="D15" s="449"/>
      <c r="E15" s="449"/>
      <c r="F15" s="450"/>
    </row>
    <row r="16" spans="1:8" ht="8.25" customHeight="1" x14ac:dyDescent="0.2">
      <c r="A16" s="453" t="s">
        <v>17</v>
      </c>
      <c r="B16" s="454"/>
      <c r="C16" s="96" t="s">
        <v>15</v>
      </c>
      <c r="D16" s="455" t="s">
        <v>27</v>
      </c>
      <c r="E16" s="456"/>
      <c r="F16" s="457"/>
      <c r="H16" s="140" t="s">
        <v>189</v>
      </c>
    </row>
    <row r="17" spans="1:6" ht="8.25" customHeight="1" x14ac:dyDescent="0.2">
      <c r="A17" s="431" t="s">
        <v>28</v>
      </c>
      <c r="B17" s="432"/>
      <c r="C17" s="432"/>
      <c r="D17" s="432"/>
      <c r="E17" s="432"/>
      <c r="F17" s="433"/>
    </row>
    <row r="18" spans="1:6" ht="8.25" customHeight="1" x14ac:dyDescent="0.2">
      <c r="A18" s="451" t="s">
        <v>22</v>
      </c>
      <c r="B18" s="452"/>
      <c r="C18" s="88" t="s">
        <v>23</v>
      </c>
      <c r="D18" s="439" t="s">
        <v>247</v>
      </c>
      <c r="E18" s="440"/>
      <c r="F18" s="441"/>
    </row>
    <row r="19" spans="1:6" ht="8.25" customHeight="1" x14ac:dyDescent="0.2">
      <c r="A19" s="437" t="s">
        <v>24</v>
      </c>
      <c r="B19" s="438"/>
      <c r="C19" s="88" t="s">
        <v>23</v>
      </c>
      <c r="D19" s="439" t="s">
        <v>246</v>
      </c>
      <c r="E19" s="440"/>
      <c r="F19" s="441"/>
    </row>
    <row r="20" spans="1:6" ht="8.25" customHeight="1" thickBot="1" x14ac:dyDescent="0.25">
      <c r="A20" s="97"/>
      <c r="B20" s="98"/>
      <c r="C20" s="98"/>
      <c r="D20" s="99"/>
      <c r="E20" s="99"/>
      <c r="F20" s="100"/>
    </row>
    <row r="21" spans="1:6" ht="9.6" customHeight="1" x14ac:dyDescent="0.2"/>
    <row r="22" spans="1:6" ht="9.6" customHeight="1" x14ac:dyDescent="0.2"/>
  </sheetData>
  <mergeCells count="21">
    <mergeCell ref="A1:F1"/>
    <mergeCell ref="A2:A3"/>
    <mergeCell ref="C2:D2"/>
    <mergeCell ref="E2:F3"/>
    <mergeCell ref="A4:F4"/>
    <mergeCell ref="B2:B3"/>
    <mergeCell ref="A19:B19"/>
    <mergeCell ref="D19:F19"/>
    <mergeCell ref="A7:F7"/>
    <mergeCell ref="A14:F14"/>
    <mergeCell ref="A15:F15"/>
    <mergeCell ref="A17:F17"/>
    <mergeCell ref="A18:B18"/>
    <mergeCell ref="D18:F18"/>
    <mergeCell ref="A16:B16"/>
    <mergeCell ref="D16:F16"/>
    <mergeCell ref="B5:E5"/>
    <mergeCell ref="B6:E6"/>
    <mergeCell ref="B8:E8"/>
    <mergeCell ref="A10:F10"/>
    <mergeCell ref="A13:D13"/>
  </mergeCells>
  <pageMargins left="0.25" right="0.25" top="0.75" bottom="0.75" header="0.3" footer="0.3"/>
  <pageSetup paperSize="9" scale="58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zoomScale="130" zoomScaleNormal="130" workbookViewId="0">
      <selection activeCell="H25" sqref="H25"/>
    </sheetView>
  </sheetViews>
  <sheetFormatPr defaultRowHeight="12.75" x14ac:dyDescent="0.2"/>
  <cols>
    <col min="1" max="1" width="15.33203125" style="47" customWidth="1"/>
    <col min="2" max="2" width="54" style="47" customWidth="1"/>
    <col min="3" max="3" width="11" style="47" customWidth="1"/>
    <col min="4" max="4" width="12.33203125" style="47" customWidth="1"/>
    <col min="5" max="5" width="10.1640625" style="47" customWidth="1"/>
    <col min="6" max="6" width="12.1640625" style="47" customWidth="1"/>
    <col min="7" max="16384" width="9.33203125" style="47"/>
  </cols>
  <sheetData>
    <row r="1" spans="1:9" ht="5.25" customHeight="1" x14ac:dyDescent="0.2">
      <c r="A1" s="458"/>
      <c r="B1" s="459"/>
      <c r="C1" s="459"/>
      <c r="D1" s="459"/>
      <c r="E1" s="459"/>
      <c r="F1" s="460"/>
    </row>
    <row r="2" spans="1:9" ht="26.85" customHeight="1" x14ac:dyDescent="0.2">
      <c r="A2" s="461"/>
      <c r="B2" s="467" t="s">
        <v>98</v>
      </c>
      <c r="C2" s="463" t="s">
        <v>188</v>
      </c>
      <c r="D2" s="464"/>
      <c r="E2" s="347"/>
      <c r="F2" s="348"/>
    </row>
    <row r="3" spans="1:9" ht="13.5" thickBot="1" x14ac:dyDescent="0.25">
      <c r="A3" s="462"/>
      <c r="B3" s="468"/>
      <c r="C3" s="141" t="s">
        <v>114</v>
      </c>
      <c r="D3" s="142">
        <f>BDI!E4</f>
        <v>0.23535496426352442</v>
      </c>
      <c r="E3" s="465"/>
      <c r="F3" s="466"/>
    </row>
    <row r="4" spans="1:9" ht="13.5" thickBot="1" x14ac:dyDescent="0.25">
      <c r="A4" s="317" t="s">
        <v>93</v>
      </c>
      <c r="B4" s="318"/>
      <c r="C4" s="318"/>
      <c r="D4" s="318"/>
      <c r="E4" s="318"/>
      <c r="F4" s="319"/>
      <c r="G4" s="76"/>
      <c r="H4" s="76"/>
    </row>
    <row r="5" spans="1:9" ht="23.25" customHeight="1" x14ac:dyDescent="0.2">
      <c r="A5" s="77" t="s">
        <v>3</v>
      </c>
      <c r="B5" s="355" t="s">
        <v>183</v>
      </c>
      <c r="C5" s="355"/>
      <c r="D5" s="355"/>
      <c r="E5" s="355"/>
      <c r="F5" s="50" t="s">
        <v>111</v>
      </c>
    </row>
    <row r="6" spans="1:9" ht="13.5" thickBot="1" x14ac:dyDescent="0.2">
      <c r="A6" s="78" t="s">
        <v>89</v>
      </c>
      <c r="B6" s="427" t="s">
        <v>184</v>
      </c>
      <c r="C6" s="427"/>
      <c r="D6" s="427"/>
      <c r="E6" s="427"/>
      <c r="F6" s="79">
        <f ca="1">TODAY()</f>
        <v>44680</v>
      </c>
    </row>
    <row r="7" spans="1:9" ht="12.75" customHeight="1" x14ac:dyDescent="0.2">
      <c r="A7" s="442" t="s">
        <v>124</v>
      </c>
      <c r="B7" s="443"/>
      <c r="C7" s="443"/>
      <c r="D7" s="443"/>
      <c r="E7" s="443"/>
      <c r="F7" s="444"/>
      <c r="G7" s="80"/>
      <c r="H7" s="80"/>
    </row>
    <row r="8" spans="1:9" x14ac:dyDescent="0.2">
      <c r="A8" s="143" t="s">
        <v>60</v>
      </c>
      <c r="B8" s="428" t="s">
        <v>125</v>
      </c>
      <c r="C8" s="429"/>
      <c r="D8" s="429"/>
      <c r="E8" s="430"/>
      <c r="F8" s="82" t="s">
        <v>15</v>
      </c>
    </row>
    <row r="9" spans="1:9" ht="16.5" x14ac:dyDescent="0.2">
      <c r="A9" s="83" t="s">
        <v>16</v>
      </c>
      <c r="B9" s="84" t="s">
        <v>17</v>
      </c>
      <c r="C9" s="84" t="s">
        <v>15</v>
      </c>
      <c r="D9" s="84" t="s">
        <v>18</v>
      </c>
      <c r="E9" s="84" t="s">
        <v>19</v>
      </c>
      <c r="F9" s="85" t="s">
        <v>126</v>
      </c>
    </row>
    <row r="10" spans="1:9" ht="8.25" customHeight="1" x14ac:dyDescent="0.2">
      <c r="A10" s="431" t="s">
        <v>21</v>
      </c>
      <c r="B10" s="432"/>
      <c r="C10" s="432"/>
      <c r="D10" s="432"/>
      <c r="E10" s="432"/>
      <c r="F10" s="433"/>
    </row>
    <row r="11" spans="1:9" ht="16.5" x14ac:dyDescent="0.2">
      <c r="A11" s="86">
        <v>4417</v>
      </c>
      <c r="B11" s="87" t="s">
        <v>127</v>
      </c>
      <c r="C11" s="88" t="s">
        <v>128</v>
      </c>
      <c r="D11" s="89" t="s">
        <v>129</v>
      </c>
      <c r="E11" s="144">
        <v>6.12</v>
      </c>
      <c r="F11" s="90">
        <f>E11*D11</f>
        <v>6.12</v>
      </c>
      <c r="G11" s="91"/>
    </row>
    <row r="12" spans="1:9" ht="16.5" x14ac:dyDescent="0.2">
      <c r="A12" s="86">
        <v>4491</v>
      </c>
      <c r="B12" s="87" t="s">
        <v>130</v>
      </c>
      <c r="C12" s="88" t="s">
        <v>128</v>
      </c>
      <c r="D12" s="89" t="s">
        <v>131</v>
      </c>
      <c r="E12" s="144">
        <v>9.0399999999999991</v>
      </c>
      <c r="F12" s="90">
        <f t="shared" ref="F12:F17" si="0">E12*D12</f>
        <v>36.159999999999997</v>
      </c>
      <c r="G12" s="91"/>
    </row>
    <row r="13" spans="1:9" ht="16.5" x14ac:dyDescent="0.2">
      <c r="A13" s="86">
        <v>4813</v>
      </c>
      <c r="B13" s="87" t="s">
        <v>132</v>
      </c>
      <c r="C13" s="88" t="s">
        <v>133</v>
      </c>
      <c r="D13" s="89" t="s">
        <v>129</v>
      </c>
      <c r="E13" s="144">
        <v>225</v>
      </c>
      <c r="F13" s="90">
        <f t="shared" si="0"/>
        <v>225</v>
      </c>
      <c r="G13" s="91"/>
    </row>
    <row r="14" spans="1:9" x14ac:dyDescent="0.2">
      <c r="A14" s="86">
        <v>5075</v>
      </c>
      <c r="B14" s="87" t="s">
        <v>134</v>
      </c>
      <c r="C14" s="88" t="s">
        <v>135</v>
      </c>
      <c r="D14" s="89" t="s">
        <v>136</v>
      </c>
      <c r="E14" s="144">
        <v>24.04</v>
      </c>
      <c r="F14" s="90">
        <f t="shared" si="0"/>
        <v>2.6444000000000001</v>
      </c>
      <c r="G14" s="91"/>
      <c r="I14" s="140" t="s">
        <v>190</v>
      </c>
    </row>
    <row r="15" spans="1:9" x14ac:dyDescent="0.2">
      <c r="A15" s="86">
        <v>88262</v>
      </c>
      <c r="B15" s="87" t="s">
        <v>137</v>
      </c>
      <c r="C15" s="88" t="s">
        <v>138</v>
      </c>
      <c r="D15" s="89" t="s">
        <v>129</v>
      </c>
      <c r="E15" s="144">
        <v>22.16</v>
      </c>
      <c r="F15" s="90">
        <f t="shared" si="0"/>
        <v>22.16</v>
      </c>
      <c r="G15" s="91"/>
    </row>
    <row r="16" spans="1:9" x14ac:dyDescent="0.2">
      <c r="A16" s="86">
        <v>88316</v>
      </c>
      <c r="B16" s="87" t="s">
        <v>139</v>
      </c>
      <c r="C16" s="88" t="s">
        <v>138</v>
      </c>
      <c r="D16" s="89" t="s">
        <v>140</v>
      </c>
      <c r="E16" s="144">
        <v>17.82</v>
      </c>
      <c r="F16" s="90">
        <f t="shared" si="0"/>
        <v>35.64</v>
      </c>
      <c r="G16" s="91"/>
    </row>
    <row r="17" spans="1:7" ht="16.5" x14ac:dyDescent="0.2">
      <c r="A17" s="86">
        <v>94962</v>
      </c>
      <c r="B17" s="87" t="s">
        <v>141</v>
      </c>
      <c r="C17" s="88" t="s">
        <v>142</v>
      </c>
      <c r="D17" s="89" t="s">
        <v>143</v>
      </c>
      <c r="E17" s="144">
        <v>346.95</v>
      </c>
      <c r="F17" s="90">
        <f t="shared" si="0"/>
        <v>3.4695</v>
      </c>
      <c r="G17" s="91"/>
    </row>
    <row r="18" spans="1:7" ht="8.25" customHeight="1" x14ac:dyDescent="0.2">
      <c r="A18" s="434"/>
      <c r="B18" s="435"/>
      <c r="C18" s="435"/>
      <c r="D18" s="436"/>
      <c r="E18" s="46" t="s">
        <v>25</v>
      </c>
      <c r="F18" s="95">
        <f>SUM(F11:F17)</f>
        <v>331.19389999999999</v>
      </c>
    </row>
    <row r="19" spans="1:7" ht="10.5" customHeight="1" x14ac:dyDescent="0.2">
      <c r="A19" s="469" t="s">
        <v>144</v>
      </c>
      <c r="B19" s="470"/>
      <c r="C19" s="470"/>
      <c r="D19" s="470"/>
      <c r="E19" s="470"/>
      <c r="F19" s="471"/>
    </row>
    <row r="20" spans="1:7" ht="14.25" customHeight="1" x14ac:dyDescent="0.2">
      <c r="A20" s="472" t="s">
        <v>145</v>
      </c>
      <c r="B20" s="473"/>
      <c r="C20" s="473"/>
      <c r="D20" s="473"/>
      <c r="E20" s="473"/>
      <c r="F20" s="474"/>
    </row>
    <row r="21" spans="1:7" ht="8.25" customHeight="1" x14ac:dyDescent="0.2">
      <c r="A21" s="453" t="s">
        <v>146</v>
      </c>
      <c r="B21" s="456"/>
      <c r="C21" s="456"/>
      <c r="D21" s="456"/>
      <c r="E21" s="456"/>
      <c r="F21" s="457"/>
    </row>
    <row r="22" spans="1:7" ht="13.5" thickBot="1" x14ac:dyDescent="0.25">
      <c r="A22" s="145"/>
      <c r="B22" s="146"/>
      <c r="C22" s="146"/>
      <c r="D22" s="146"/>
      <c r="E22" s="146"/>
      <c r="F22" s="147"/>
    </row>
    <row r="23" spans="1:7" ht="9.6" customHeight="1" x14ac:dyDescent="0.2"/>
  </sheetData>
  <mergeCells count="15">
    <mergeCell ref="A4:F4"/>
    <mergeCell ref="A1:F1"/>
    <mergeCell ref="A2:A3"/>
    <mergeCell ref="B2:B3"/>
    <mergeCell ref="C2:D2"/>
    <mergeCell ref="E2:F3"/>
    <mergeCell ref="A19:F19"/>
    <mergeCell ref="A20:F20"/>
    <mergeCell ref="A21:F21"/>
    <mergeCell ref="B5:E5"/>
    <mergeCell ref="B6:E6"/>
    <mergeCell ref="A7:F7"/>
    <mergeCell ref="B8:E8"/>
    <mergeCell ref="A10:F10"/>
    <mergeCell ref="A18:D18"/>
  </mergeCells>
  <pageMargins left="0.25" right="0.25" top="0.75" bottom="0.75" header="0.3" footer="0.3"/>
  <pageSetup paperSize="9" scale="61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zoomScale="145" zoomScaleNormal="145" workbookViewId="0">
      <selection sqref="A1:F27"/>
    </sheetView>
  </sheetViews>
  <sheetFormatPr defaultRowHeight="12.75" x14ac:dyDescent="0.2"/>
  <cols>
    <col min="1" max="1" width="15.33203125" style="47" customWidth="1"/>
    <col min="2" max="2" width="54" style="47" customWidth="1"/>
    <col min="3" max="3" width="11" style="47" customWidth="1"/>
    <col min="4" max="4" width="12.33203125" style="47" customWidth="1"/>
    <col min="5" max="5" width="10.1640625" style="47" customWidth="1"/>
    <col min="6" max="6" width="11" style="47" customWidth="1"/>
    <col min="7" max="16384" width="9.33203125" style="47"/>
  </cols>
  <sheetData>
    <row r="1" spans="1:8" ht="5.25" customHeight="1" x14ac:dyDescent="0.2">
      <c r="A1" s="458"/>
      <c r="B1" s="459"/>
      <c r="C1" s="459"/>
      <c r="D1" s="459"/>
      <c r="E1" s="459"/>
      <c r="F1" s="460"/>
    </row>
    <row r="2" spans="1:8" ht="26.85" customHeight="1" x14ac:dyDescent="0.2">
      <c r="A2" s="461"/>
      <c r="B2" s="467" t="s">
        <v>98</v>
      </c>
      <c r="C2" s="463" t="s">
        <v>188</v>
      </c>
      <c r="D2" s="464"/>
      <c r="E2" s="347"/>
      <c r="F2" s="348"/>
    </row>
    <row r="3" spans="1:8" ht="24.75" customHeight="1" thickBot="1" x14ac:dyDescent="0.25">
      <c r="A3" s="462"/>
      <c r="B3" s="468"/>
      <c r="C3" s="74" t="s">
        <v>29</v>
      </c>
      <c r="D3" s="231">
        <f>BDI!E4</f>
        <v>0.23535496426352442</v>
      </c>
      <c r="E3" s="465"/>
      <c r="F3" s="466"/>
    </row>
    <row r="4" spans="1:8" ht="9" customHeight="1" thickBot="1" x14ac:dyDescent="0.25">
      <c r="A4" s="317" t="s">
        <v>93</v>
      </c>
      <c r="B4" s="318"/>
      <c r="C4" s="318"/>
      <c r="D4" s="318"/>
      <c r="E4" s="318"/>
      <c r="F4" s="319"/>
      <c r="G4" s="76"/>
      <c r="H4" s="76"/>
    </row>
    <row r="5" spans="1:8" ht="10.35" customHeight="1" x14ac:dyDescent="0.2">
      <c r="A5" s="77" t="s">
        <v>3</v>
      </c>
      <c r="B5" s="355" t="s">
        <v>183</v>
      </c>
      <c r="C5" s="355"/>
      <c r="D5" s="355"/>
      <c r="E5" s="355"/>
      <c r="F5" s="50" t="s">
        <v>111</v>
      </c>
    </row>
    <row r="6" spans="1:8" ht="10.35" customHeight="1" thickBot="1" x14ac:dyDescent="0.2">
      <c r="A6" s="78" t="s">
        <v>89</v>
      </c>
      <c r="B6" s="427" t="s">
        <v>180</v>
      </c>
      <c r="C6" s="427"/>
      <c r="D6" s="427"/>
      <c r="E6" s="427"/>
      <c r="F6" s="79">
        <f ca="1">TODAY()</f>
        <v>44680</v>
      </c>
    </row>
    <row r="7" spans="1:8" ht="12.75" customHeight="1" x14ac:dyDescent="0.2">
      <c r="A7" s="442" t="s">
        <v>169</v>
      </c>
      <c r="B7" s="443"/>
      <c r="C7" s="443"/>
      <c r="D7" s="443"/>
      <c r="E7" s="443"/>
      <c r="F7" s="444"/>
      <c r="G7" s="80"/>
      <c r="H7" s="80"/>
    </row>
    <row r="8" spans="1:8" ht="9" customHeight="1" x14ac:dyDescent="0.2">
      <c r="A8" s="81" t="s">
        <v>60</v>
      </c>
      <c r="B8" s="428" t="s">
        <v>255</v>
      </c>
      <c r="C8" s="429"/>
      <c r="D8" s="429"/>
      <c r="E8" s="430"/>
      <c r="F8" s="82" t="s">
        <v>15</v>
      </c>
    </row>
    <row r="9" spans="1:8" ht="19.5" customHeight="1" x14ac:dyDescent="0.2">
      <c r="A9" s="83" t="s">
        <v>16</v>
      </c>
      <c r="B9" s="84" t="s">
        <v>17</v>
      </c>
      <c r="C9" s="84" t="s">
        <v>15</v>
      </c>
      <c r="D9" s="84" t="s">
        <v>18</v>
      </c>
      <c r="E9" s="84" t="s">
        <v>19</v>
      </c>
      <c r="F9" s="85" t="s">
        <v>20</v>
      </c>
    </row>
    <row r="10" spans="1:8" x14ac:dyDescent="0.2">
      <c r="A10" s="431" t="s">
        <v>250</v>
      </c>
      <c r="B10" s="432"/>
      <c r="C10" s="432"/>
      <c r="D10" s="432"/>
      <c r="E10" s="432"/>
      <c r="F10" s="433"/>
    </row>
    <row r="11" spans="1:8" x14ac:dyDescent="0.2">
      <c r="A11" s="86">
        <v>102181</v>
      </c>
      <c r="B11" s="87" t="s">
        <v>254</v>
      </c>
      <c r="C11" s="88" t="s">
        <v>62</v>
      </c>
      <c r="D11" s="89">
        <v>1.05</v>
      </c>
      <c r="E11" s="144">
        <v>561.5</v>
      </c>
      <c r="F11" s="90">
        <f>D11*E11</f>
        <v>589.57500000000005</v>
      </c>
    </row>
    <row r="12" spans="1:8" ht="8.25" customHeight="1" x14ac:dyDescent="0.2">
      <c r="A12" s="431" t="s">
        <v>21</v>
      </c>
      <c r="B12" s="432"/>
      <c r="C12" s="432"/>
      <c r="D12" s="432"/>
      <c r="E12" s="432"/>
      <c r="F12" s="433"/>
    </row>
    <row r="13" spans="1:8" x14ac:dyDescent="0.2">
      <c r="A13" s="86">
        <v>88309</v>
      </c>
      <c r="B13" s="87" t="s">
        <v>168</v>
      </c>
      <c r="C13" s="88" t="s">
        <v>23</v>
      </c>
      <c r="D13" s="89">
        <v>3.5</v>
      </c>
      <c r="E13" s="144">
        <v>22.41</v>
      </c>
      <c r="F13" s="90">
        <f>D13*E13</f>
        <v>78.435000000000002</v>
      </c>
      <c r="G13" s="91"/>
    </row>
    <row r="14" spans="1:8" ht="8.25" customHeight="1" x14ac:dyDescent="0.2">
      <c r="A14" s="92">
        <v>88316</v>
      </c>
      <c r="B14" s="93" t="s">
        <v>139</v>
      </c>
      <c r="C14" s="94" t="s">
        <v>23</v>
      </c>
      <c r="D14" s="89">
        <v>3.5</v>
      </c>
      <c r="E14" s="189">
        <v>17.82</v>
      </c>
      <c r="F14" s="90">
        <f>D14*E14</f>
        <v>62.370000000000005</v>
      </c>
      <c r="G14" s="91"/>
    </row>
    <row r="15" spans="1:8" ht="8.25" customHeight="1" x14ac:dyDescent="0.2">
      <c r="A15" s="434"/>
      <c r="B15" s="435"/>
      <c r="C15" s="435"/>
      <c r="D15" s="436"/>
      <c r="E15" s="46" t="s">
        <v>25</v>
      </c>
      <c r="F15" s="95">
        <f>SUM(F13:F14)+F11</f>
        <v>730.38000000000011</v>
      </c>
    </row>
    <row r="16" spans="1:8" ht="17.25" customHeight="1" x14ac:dyDescent="0.2">
      <c r="A16" s="445"/>
      <c r="B16" s="446"/>
      <c r="C16" s="446"/>
      <c r="D16" s="446"/>
      <c r="E16" s="446"/>
      <c r="F16" s="447"/>
    </row>
    <row r="17" spans="1:8" ht="8.25" customHeight="1" x14ac:dyDescent="0.2">
      <c r="A17" s="448" t="s">
        <v>26</v>
      </c>
      <c r="B17" s="449"/>
      <c r="C17" s="449"/>
      <c r="D17" s="449"/>
      <c r="E17" s="449"/>
      <c r="F17" s="450"/>
    </row>
    <row r="18" spans="1:8" ht="30.75" customHeight="1" x14ac:dyDescent="0.2">
      <c r="A18" s="437" t="s">
        <v>251</v>
      </c>
      <c r="B18" s="475"/>
      <c r="C18" s="475"/>
      <c r="D18" s="475"/>
      <c r="E18" s="475"/>
      <c r="F18" s="476"/>
      <c r="H18" s="140" t="s">
        <v>189</v>
      </c>
    </row>
    <row r="19" spans="1:8" ht="8.25" customHeight="1" thickBot="1" x14ac:dyDescent="0.25">
      <c r="A19" s="97"/>
      <c r="B19" s="98"/>
      <c r="C19" s="98"/>
      <c r="D19" s="99"/>
      <c r="E19" s="99"/>
      <c r="F19" s="100"/>
    </row>
    <row r="20" spans="1:8" ht="9.6" customHeight="1" x14ac:dyDescent="0.2"/>
    <row r="21" spans="1:8" ht="9.6" customHeight="1" x14ac:dyDescent="0.2"/>
  </sheetData>
  <mergeCells count="16">
    <mergeCell ref="A10:F10"/>
    <mergeCell ref="A18:F18"/>
    <mergeCell ref="A16:F16"/>
    <mergeCell ref="A17:F17"/>
    <mergeCell ref="B5:E5"/>
    <mergeCell ref="B6:E6"/>
    <mergeCell ref="A7:F7"/>
    <mergeCell ref="B8:E8"/>
    <mergeCell ref="A12:F12"/>
    <mergeCell ref="A15:D15"/>
    <mergeCell ref="A4:F4"/>
    <mergeCell ref="A1:F1"/>
    <mergeCell ref="A2:A3"/>
    <mergeCell ref="B2:B3"/>
    <mergeCell ref="C2:D2"/>
    <mergeCell ref="E2:F3"/>
  </mergeCells>
  <pageMargins left="0.25" right="0.25" top="0.75" bottom="0.75" header="0.3" footer="0.3"/>
  <pageSetup paperSize="9" scale="6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zoomScale="130" zoomScaleNormal="130" workbookViewId="0">
      <selection activeCell="G15" sqref="G15"/>
    </sheetView>
  </sheetViews>
  <sheetFormatPr defaultRowHeight="12.75" x14ac:dyDescent="0.2"/>
  <cols>
    <col min="1" max="1" width="17.83203125" style="47" customWidth="1"/>
    <col min="2" max="2" width="51.5" style="47" customWidth="1"/>
    <col min="3" max="3" width="13.1640625" style="47" customWidth="1"/>
    <col min="4" max="4" width="13.33203125" style="47" customWidth="1"/>
    <col min="5" max="5" width="10.6640625" style="47" customWidth="1"/>
    <col min="6" max="6" width="11.5" style="47" customWidth="1"/>
    <col min="7" max="9" width="9.33203125" style="47"/>
    <col min="10" max="10" width="10" style="47" bestFit="1" customWidth="1"/>
    <col min="11" max="16384" width="9.33203125" style="47"/>
  </cols>
  <sheetData>
    <row r="1" spans="1:16" ht="5.25" customHeight="1" x14ac:dyDescent="0.2">
      <c r="A1" s="458"/>
      <c r="B1" s="459"/>
      <c r="C1" s="459"/>
      <c r="D1" s="459"/>
      <c r="E1" s="459"/>
      <c r="F1" s="460"/>
    </row>
    <row r="2" spans="1:16" ht="25.7" customHeight="1" x14ac:dyDescent="0.2">
      <c r="A2" s="461"/>
      <c r="B2" s="467" t="s">
        <v>98</v>
      </c>
      <c r="C2" s="480" t="s">
        <v>188</v>
      </c>
      <c r="D2" s="481"/>
      <c r="E2" s="347"/>
      <c r="F2" s="348"/>
    </row>
    <row r="3" spans="1:16" ht="13.5" thickBot="1" x14ac:dyDescent="0.25">
      <c r="A3" s="462"/>
      <c r="B3" s="468"/>
      <c r="C3" s="74" t="s">
        <v>29</v>
      </c>
      <c r="D3" s="75">
        <f>'[3]COMPOSIÇÃO II'!D3</f>
        <v>0.23535496426352442</v>
      </c>
      <c r="E3" s="465"/>
      <c r="F3" s="466"/>
    </row>
    <row r="4" spans="1:16" ht="13.5" thickBot="1" x14ac:dyDescent="0.25">
      <c r="A4" s="317" t="s">
        <v>93</v>
      </c>
      <c r="B4" s="318"/>
      <c r="C4" s="318"/>
      <c r="D4" s="318"/>
      <c r="E4" s="318"/>
      <c r="F4" s="319"/>
    </row>
    <row r="5" spans="1:16" ht="25.5" customHeight="1" x14ac:dyDescent="0.2">
      <c r="A5" s="77" t="s">
        <v>3</v>
      </c>
      <c r="B5" s="355" t="s">
        <v>183</v>
      </c>
      <c r="C5" s="355"/>
      <c r="D5" s="355"/>
      <c r="E5" s="355"/>
      <c r="F5" s="50" t="s">
        <v>111</v>
      </c>
    </row>
    <row r="6" spans="1:16" ht="13.5" thickBot="1" x14ac:dyDescent="0.25">
      <c r="A6" s="78" t="s">
        <v>89</v>
      </c>
      <c r="B6" s="427" t="s">
        <v>198</v>
      </c>
      <c r="C6" s="427"/>
      <c r="D6" s="427"/>
      <c r="E6" s="427"/>
      <c r="F6" s="190">
        <f ca="1">TODAY()</f>
        <v>44680</v>
      </c>
    </row>
    <row r="7" spans="1:16" ht="12.75" customHeight="1" x14ac:dyDescent="0.2">
      <c r="A7" s="442" t="s">
        <v>199</v>
      </c>
      <c r="B7" s="443"/>
      <c r="C7" s="443"/>
      <c r="D7" s="443"/>
      <c r="E7" s="443"/>
      <c r="F7" s="444"/>
    </row>
    <row r="8" spans="1:16" x14ac:dyDescent="0.2">
      <c r="A8" s="191" t="s">
        <v>60</v>
      </c>
      <c r="B8" s="482" t="s">
        <v>200</v>
      </c>
      <c r="C8" s="482"/>
      <c r="D8" s="482"/>
      <c r="E8" s="482"/>
      <c r="F8" s="192" t="s">
        <v>201</v>
      </c>
    </row>
    <row r="9" spans="1:16" ht="16.5" x14ac:dyDescent="0.2">
      <c r="A9" s="193" t="s">
        <v>202</v>
      </c>
      <c r="B9" s="194" t="s">
        <v>203</v>
      </c>
      <c r="C9" s="194" t="s">
        <v>201</v>
      </c>
      <c r="D9" s="195" t="s">
        <v>204</v>
      </c>
      <c r="E9" s="193" t="s">
        <v>205</v>
      </c>
      <c r="F9" s="193" t="s">
        <v>206</v>
      </c>
    </row>
    <row r="10" spans="1:16" ht="13.5" thickBot="1" x14ac:dyDescent="0.25">
      <c r="A10" s="483" t="s">
        <v>207</v>
      </c>
      <c r="B10" s="484"/>
      <c r="C10" s="484"/>
      <c r="D10" s="484"/>
      <c r="E10" s="484"/>
      <c r="F10" s="485"/>
    </row>
    <row r="11" spans="1:16" ht="16.5" x14ac:dyDescent="0.2">
      <c r="A11" s="196">
        <v>4006</v>
      </c>
      <c r="B11" s="197" t="s">
        <v>208</v>
      </c>
      <c r="C11" s="198" t="s">
        <v>209</v>
      </c>
      <c r="D11" s="232">
        <f>N16</f>
        <v>1.2624</v>
      </c>
      <c r="E11" s="199">
        <v>2036.13</v>
      </c>
      <c r="F11" s="200">
        <f>D11*E11</f>
        <v>2570.4105119999999</v>
      </c>
      <c r="H11" s="140"/>
      <c r="I11" s="477" t="s">
        <v>210</v>
      </c>
      <c r="J11" s="478"/>
      <c r="K11" s="478"/>
      <c r="L11" s="478"/>
      <c r="M11" s="478"/>
      <c r="N11" s="478"/>
      <c r="O11" s="478"/>
      <c r="P11" s="479"/>
    </row>
    <row r="12" spans="1:16" ht="13.5" thickBot="1" x14ac:dyDescent="0.25">
      <c r="A12" s="201">
        <v>39996</v>
      </c>
      <c r="B12" s="202" t="s">
        <v>211</v>
      </c>
      <c r="C12" s="203" t="s">
        <v>212</v>
      </c>
      <c r="D12" s="233">
        <v>1</v>
      </c>
      <c r="E12" s="204">
        <v>4.84</v>
      </c>
      <c r="F12" s="200">
        <f t="shared" ref="F12:F20" si="0">D12*E12</f>
        <v>4.84</v>
      </c>
      <c r="I12" s="205" t="s">
        <v>61</v>
      </c>
      <c r="J12" s="206" t="s">
        <v>123</v>
      </c>
      <c r="K12" s="206" t="s">
        <v>213</v>
      </c>
      <c r="L12" s="206" t="s">
        <v>214</v>
      </c>
      <c r="M12" s="206"/>
      <c r="N12" s="206" t="s">
        <v>215</v>
      </c>
      <c r="O12" s="206" t="s">
        <v>216</v>
      </c>
      <c r="P12" s="207" t="s">
        <v>217</v>
      </c>
    </row>
    <row r="13" spans="1:16" x14ac:dyDescent="0.2">
      <c r="A13" s="201">
        <v>39997</v>
      </c>
      <c r="B13" s="202" t="s">
        <v>218</v>
      </c>
      <c r="C13" s="203" t="s">
        <v>219</v>
      </c>
      <c r="D13" s="234">
        <v>4</v>
      </c>
      <c r="E13" s="204">
        <v>0.31</v>
      </c>
      <c r="F13" s="200">
        <f t="shared" si="0"/>
        <v>1.24</v>
      </c>
      <c r="I13" s="208">
        <v>2</v>
      </c>
      <c r="J13" s="209" t="s">
        <v>220</v>
      </c>
      <c r="K13" s="210" t="s">
        <v>221</v>
      </c>
      <c r="L13" s="210">
        <v>4.5</v>
      </c>
      <c r="M13" s="209">
        <f>L13*0.3*0.3</f>
        <v>0.40499999999999997</v>
      </c>
      <c r="N13" s="209">
        <f>M13*I13</f>
        <v>0.80999999999999994</v>
      </c>
      <c r="O13" s="209">
        <f>L13*I13</f>
        <v>9</v>
      </c>
      <c r="P13" s="211">
        <f>L13*(2*0.3+2*0.3)</f>
        <v>5.3999999999999995</v>
      </c>
    </row>
    <row r="14" spans="1:16" x14ac:dyDescent="0.2">
      <c r="A14" s="483" t="s">
        <v>222</v>
      </c>
      <c r="B14" s="484"/>
      <c r="C14" s="484"/>
      <c r="D14" s="484"/>
      <c r="E14" s="484"/>
      <c r="F14" s="485"/>
      <c r="I14" s="208">
        <v>2</v>
      </c>
      <c r="J14" s="209" t="s">
        <v>223</v>
      </c>
      <c r="K14" s="210" t="s">
        <v>224</v>
      </c>
      <c r="L14" s="210">
        <v>3.9</v>
      </c>
      <c r="M14" s="209">
        <f>L14*0.1*0.25</f>
        <v>9.7500000000000003E-2</v>
      </c>
      <c r="N14" s="209">
        <f t="shared" ref="N14:N15" si="1">M14*I14</f>
        <v>0.19500000000000001</v>
      </c>
      <c r="O14" s="209">
        <f t="shared" ref="O14:O15" si="2">L14*I14</f>
        <v>7.8</v>
      </c>
      <c r="P14" s="211">
        <f>(0.15*L14*2*2)+(0.3*L14*2*2)</f>
        <v>7.02</v>
      </c>
    </row>
    <row r="15" spans="1:16" ht="16.5" x14ac:dyDescent="0.2">
      <c r="A15" s="196">
        <v>96522</v>
      </c>
      <c r="B15" s="212" t="s">
        <v>225</v>
      </c>
      <c r="C15" s="198" t="s">
        <v>209</v>
      </c>
      <c r="D15" s="235">
        <v>0.4</v>
      </c>
      <c r="E15" s="199">
        <v>126.8</v>
      </c>
      <c r="F15" s="200">
        <f t="shared" si="0"/>
        <v>50.72</v>
      </c>
      <c r="I15" s="208">
        <v>13</v>
      </c>
      <c r="J15" s="209" t="s">
        <v>226</v>
      </c>
      <c r="K15" s="210" t="s">
        <v>227</v>
      </c>
      <c r="L15" s="210">
        <v>1.65</v>
      </c>
      <c r="M15" s="209">
        <f>L15*0.08*0.15</f>
        <v>1.9800000000000002E-2</v>
      </c>
      <c r="N15" s="209">
        <f t="shared" si="1"/>
        <v>0.25740000000000002</v>
      </c>
      <c r="O15" s="209">
        <f t="shared" si="2"/>
        <v>21.45</v>
      </c>
      <c r="P15" s="211">
        <f>(0.1*L15*2*14)+(0.3*L15*2*14)</f>
        <v>18.479999999999997</v>
      </c>
    </row>
    <row r="16" spans="1:16" ht="17.25" thickBot="1" x14ac:dyDescent="0.25">
      <c r="A16" s="196">
        <v>94970</v>
      </c>
      <c r="B16" s="212" t="s">
        <v>228</v>
      </c>
      <c r="C16" s="198" t="s">
        <v>209</v>
      </c>
      <c r="D16" s="235">
        <v>0.22</v>
      </c>
      <c r="E16" s="199">
        <v>416.99</v>
      </c>
      <c r="F16" s="200">
        <f t="shared" si="0"/>
        <v>91.737800000000007</v>
      </c>
      <c r="I16" s="205"/>
      <c r="J16" s="206"/>
      <c r="K16" s="206"/>
      <c r="L16" s="206"/>
      <c r="M16" s="206"/>
      <c r="N16" s="206">
        <f>SUM(N13:N15)</f>
        <v>1.2624</v>
      </c>
      <c r="O16" s="206">
        <f>SUM(O13:O15)</f>
        <v>38.25</v>
      </c>
      <c r="P16" s="207">
        <f>SUM(P13:P15)</f>
        <v>30.899999999999995</v>
      </c>
    </row>
    <row r="17" spans="1:15" x14ac:dyDescent="0.2">
      <c r="A17" s="201">
        <v>102214</v>
      </c>
      <c r="B17" s="202" t="s">
        <v>229</v>
      </c>
      <c r="C17" s="203" t="s">
        <v>230</v>
      </c>
      <c r="D17" s="234">
        <f>P16</f>
        <v>30.899999999999995</v>
      </c>
      <c r="E17" s="204">
        <v>16.25</v>
      </c>
      <c r="F17" s="200">
        <f t="shared" si="0"/>
        <v>502.12499999999994</v>
      </c>
      <c r="I17" s="91"/>
      <c r="J17" s="91"/>
      <c r="K17" s="91"/>
      <c r="L17" s="91"/>
      <c r="M17" s="91"/>
      <c r="N17" s="91"/>
      <c r="O17" s="91"/>
    </row>
    <row r="18" spans="1:15" ht="8.25" customHeight="1" x14ac:dyDescent="0.2">
      <c r="A18" s="483" t="s">
        <v>231</v>
      </c>
      <c r="B18" s="484"/>
      <c r="C18" s="484"/>
      <c r="D18" s="484"/>
      <c r="E18" s="484"/>
      <c r="F18" s="485"/>
      <c r="I18" s="91"/>
      <c r="J18" s="91"/>
      <c r="K18" s="91"/>
      <c r="L18" s="91"/>
      <c r="M18" s="91"/>
      <c r="N18" s="91"/>
      <c r="O18" s="91"/>
    </row>
    <row r="19" spans="1:15" x14ac:dyDescent="0.2">
      <c r="A19" s="201">
        <v>88262</v>
      </c>
      <c r="B19" s="202" t="s">
        <v>232</v>
      </c>
      <c r="C19" s="203" t="s">
        <v>233</v>
      </c>
      <c r="D19" s="234">
        <f>F24</f>
        <v>26.774999999999999</v>
      </c>
      <c r="E19" s="204">
        <v>22.16</v>
      </c>
      <c r="F19" s="200">
        <f t="shared" si="0"/>
        <v>593.33399999999995</v>
      </c>
      <c r="I19" s="91"/>
      <c r="J19" s="91"/>
      <c r="K19" s="91"/>
      <c r="L19" s="91"/>
      <c r="M19" s="91"/>
      <c r="N19" s="91"/>
      <c r="O19" s="91"/>
    </row>
    <row r="20" spans="1:15" x14ac:dyDescent="0.2">
      <c r="A20" s="201">
        <v>88316</v>
      </c>
      <c r="B20" s="202" t="s">
        <v>234</v>
      </c>
      <c r="C20" s="203" t="s">
        <v>233</v>
      </c>
      <c r="D20" s="234">
        <f>F23</f>
        <v>19.125</v>
      </c>
      <c r="E20" s="204">
        <v>17.82</v>
      </c>
      <c r="F20" s="200">
        <f t="shared" si="0"/>
        <v>340.8075</v>
      </c>
      <c r="I20" s="91"/>
      <c r="J20" s="91"/>
      <c r="K20" s="91"/>
      <c r="L20" s="91"/>
      <c r="M20" s="91"/>
      <c r="N20" s="91"/>
      <c r="O20" s="91"/>
    </row>
    <row r="21" spans="1:15" ht="8.25" customHeight="1" x14ac:dyDescent="0.2">
      <c r="A21" s="435"/>
      <c r="B21" s="435"/>
      <c r="C21" s="435"/>
      <c r="D21" s="436"/>
      <c r="E21" s="236" t="s">
        <v>235</v>
      </c>
      <c r="F21" s="237">
        <f>SUM(F11:F20)</f>
        <v>4155.2148119999993</v>
      </c>
      <c r="I21" s="91"/>
      <c r="J21" s="91"/>
      <c r="K21" s="91"/>
      <c r="L21" s="91"/>
      <c r="M21" s="91"/>
      <c r="N21" s="91"/>
      <c r="O21" s="91"/>
    </row>
    <row r="22" spans="1:15" ht="17.25" customHeight="1" x14ac:dyDescent="0.2">
      <c r="A22" s="486" t="s">
        <v>236</v>
      </c>
      <c r="B22" s="486"/>
      <c r="C22" s="486"/>
      <c r="D22" s="486"/>
      <c r="E22" s="486"/>
      <c r="F22" s="486"/>
    </row>
    <row r="23" spans="1:15" ht="8.25" customHeight="1" x14ac:dyDescent="0.2">
      <c r="A23" s="487" t="s">
        <v>237</v>
      </c>
      <c r="B23" s="489" t="s">
        <v>238</v>
      </c>
      <c r="C23" s="490"/>
      <c r="D23" s="491"/>
      <c r="E23" s="238"/>
      <c r="F23" s="239">
        <f>0.5*O16</f>
        <v>19.125</v>
      </c>
    </row>
    <row r="24" spans="1:15" ht="8.25" customHeight="1" x14ac:dyDescent="0.2">
      <c r="A24" s="488"/>
      <c r="B24" s="489" t="s">
        <v>239</v>
      </c>
      <c r="C24" s="490"/>
      <c r="D24" s="491"/>
      <c r="E24" s="238"/>
      <c r="F24" s="239">
        <f>0.7*O16</f>
        <v>26.774999999999999</v>
      </c>
    </row>
    <row r="25" spans="1:15" ht="7.5" customHeight="1" x14ac:dyDescent="0.2">
      <c r="A25" s="492"/>
      <c r="B25" s="493"/>
      <c r="C25" s="493"/>
      <c r="D25" s="493"/>
      <c r="E25" s="493"/>
      <c r="F25" s="494"/>
    </row>
    <row r="26" spans="1:15" x14ac:dyDescent="0.2">
      <c r="A26" s="240" t="s">
        <v>237</v>
      </c>
      <c r="B26" s="241" t="s">
        <v>280</v>
      </c>
      <c r="C26" s="242"/>
      <c r="D26" s="242"/>
      <c r="E26" s="242"/>
      <c r="F26" s="243"/>
    </row>
    <row r="27" spans="1:15" ht="6" customHeight="1" x14ac:dyDescent="0.2">
      <c r="A27" s="492"/>
      <c r="B27" s="493"/>
      <c r="C27" s="493"/>
      <c r="D27" s="493"/>
      <c r="E27" s="493"/>
      <c r="F27" s="494"/>
    </row>
    <row r="28" spans="1:15" x14ac:dyDescent="0.2">
      <c r="A28" s="240" t="s">
        <v>237</v>
      </c>
      <c r="B28" s="241" t="s">
        <v>281</v>
      </c>
      <c r="C28" s="242"/>
      <c r="D28" s="242"/>
      <c r="E28" s="242"/>
      <c r="F28" s="243"/>
    </row>
    <row r="29" spans="1:15" ht="6" customHeight="1" x14ac:dyDescent="0.2">
      <c r="A29" s="495"/>
      <c r="B29" s="496"/>
      <c r="C29" s="496"/>
      <c r="D29" s="496"/>
      <c r="E29" s="496"/>
      <c r="F29" s="497"/>
    </row>
    <row r="30" spans="1:15" x14ac:dyDescent="0.2">
      <c r="A30" s="240" t="s">
        <v>237</v>
      </c>
      <c r="B30" s="241" t="s">
        <v>240</v>
      </c>
      <c r="C30" s="244"/>
      <c r="D30" s="244"/>
      <c r="E30" s="244"/>
      <c r="F30" s="245"/>
    </row>
    <row r="31" spans="1:15" ht="6" customHeight="1" x14ac:dyDescent="0.2">
      <c r="A31" s="492"/>
      <c r="B31" s="493"/>
      <c r="C31" s="493"/>
      <c r="D31" s="493"/>
      <c r="E31" s="493"/>
      <c r="F31" s="494"/>
    </row>
    <row r="32" spans="1:15" x14ac:dyDescent="0.2">
      <c r="A32" s="240" t="s">
        <v>237</v>
      </c>
      <c r="B32" s="241" t="s">
        <v>282</v>
      </c>
      <c r="C32" s="244"/>
      <c r="D32" s="244"/>
      <c r="E32" s="244"/>
      <c r="F32" s="245"/>
    </row>
    <row r="33" spans="1:6" ht="6" customHeight="1" x14ac:dyDescent="0.2">
      <c r="A33" s="492"/>
      <c r="B33" s="493"/>
      <c r="C33" s="493"/>
      <c r="D33" s="493"/>
      <c r="E33" s="493"/>
      <c r="F33" s="494"/>
    </row>
    <row r="34" spans="1:6" x14ac:dyDescent="0.2">
      <c r="A34" s="240" t="s">
        <v>237</v>
      </c>
      <c r="B34" s="241" t="s">
        <v>283</v>
      </c>
      <c r="C34" s="242"/>
      <c r="D34" s="242"/>
      <c r="E34" s="242"/>
      <c r="F34" s="243"/>
    </row>
    <row r="35" spans="1:6" ht="48" customHeight="1" x14ac:dyDescent="0.2"/>
  </sheetData>
  <mergeCells count="24">
    <mergeCell ref="A25:F25"/>
    <mergeCell ref="A27:F27"/>
    <mergeCell ref="A29:F29"/>
    <mergeCell ref="A31:F31"/>
    <mergeCell ref="A33:F33"/>
    <mergeCell ref="A14:F14"/>
    <mergeCell ref="A18:F18"/>
    <mergeCell ref="A21:D21"/>
    <mergeCell ref="A22:F22"/>
    <mergeCell ref="A23:A24"/>
    <mergeCell ref="B23:D23"/>
    <mergeCell ref="B24:D24"/>
    <mergeCell ref="I11:P11"/>
    <mergeCell ref="A1:F1"/>
    <mergeCell ref="A2:A3"/>
    <mergeCell ref="B2:B3"/>
    <mergeCell ref="C2:D2"/>
    <mergeCell ref="E2:F3"/>
    <mergeCell ref="A4:F4"/>
    <mergeCell ref="B5:E5"/>
    <mergeCell ref="B6:E6"/>
    <mergeCell ref="A7:F7"/>
    <mergeCell ref="B8:E8"/>
    <mergeCell ref="A10:F10"/>
  </mergeCells>
  <pageMargins left="0.25" right="0.25" top="0.75" bottom="0.75" header="0.3" footer="0.3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RESUMO ORÇAMENTO</vt:lpstr>
      <vt:lpstr>PLANILHA ORÇAMENTÁRIA </vt:lpstr>
      <vt:lpstr>CRONOGRAMA </vt:lpstr>
      <vt:lpstr>BDI</vt:lpstr>
      <vt:lpstr>COMPOSIÇÃO I</vt:lpstr>
      <vt:lpstr>COMPOSIÇÃO II</vt:lpstr>
      <vt:lpstr>COMPOSIÇÁO III</vt:lpstr>
      <vt:lpstr>COMPOSIÇÃO IV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Convidado</dc:creator>
  <cp:lastModifiedBy>LICITAÇAO</cp:lastModifiedBy>
  <cp:lastPrinted>2022-04-27T13:32:10Z</cp:lastPrinted>
  <dcterms:created xsi:type="dcterms:W3CDTF">2020-09-10T11:28:25Z</dcterms:created>
  <dcterms:modified xsi:type="dcterms:W3CDTF">2022-04-29T20:13:43Z</dcterms:modified>
</cp:coreProperties>
</file>